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ahad\Downloads\"/>
    </mc:Choice>
  </mc:AlternateContent>
  <xr:revisionPtr revIDLastSave="0" documentId="13_ncr:1_{5D15EBB6-3798-4C9D-AA5B-FA5E6B03846E}" xr6:coauthVersionLast="45" xr6:coauthVersionMax="45" xr10:uidLastSave="{00000000-0000-0000-0000-000000000000}"/>
  <bookViews>
    <workbookView xWindow="-110" yWindow="-110" windowWidth="19420" windowHeight="10420" xr2:uid="{0C34C84A-7A59-40AD-BA7A-EA6E7D89C77C}"/>
  </bookViews>
  <sheets>
    <sheet name="Cash Flow" sheetId="1" r:id="rId1"/>
    <sheet name="Suppliers" sheetId="6" r:id="rId2"/>
    <sheet name="HR" sheetId="5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H20" i="1" s="1"/>
  <c r="I14" i="1"/>
  <c r="I20" i="1" s="1"/>
  <c r="J14" i="1"/>
  <c r="J20" i="1" s="1"/>
  <c r="K14" i="1"/>
  <c r="L14" i="1"/>
  <c r="L20" i="1" s="1"/>
  <c r="M14" i="1"/>
  <c r="M20" i="1" s="1"/>
  <c r="N14" i="1"/>
  <c r="N20" i="1" s="1"/>
  <c r="O14" i="1"/>
  <c r="O20" i="1" s="1"/>
  <c r="D5" i="1"/>
  <c r="D6" i="1" s="1"/>
  <c r="C6" i="1"/>
  <c r="F16" i="1"/>
  <c r="E16" i="1"/>
  <c r="D16" i="1"/>
  <c r="C16" i="1"/>
  <c r="K20" i="1"/>
  <c r="G14" i="1"/>
  <c r="G20" i="1" s="1"/>
  <c r="G16" i="1" s="1"/>
  <c r="D4" i="1"/>
  <c r="D4" i="6" s="1"/>
  <c r="C4" i="6"/>
  <c r="D5" i="6"/>
  <c r="E5" i="6" s="1"/>
  <c r="C6" i="6"/>
  <c r="B12" i="5"/>
  <c r="B11" i="5"/>
  <c r="B13" i="5" s="1"/>
  <c r="B10" i="5"/>
  <c r="B9" i="5"/>
  <c r="B8" i="5"/>
  <c r="B7" i="5"/>
  <c r="B6" i="5"/>
  <c r="B5" i="5"/>
  <c r="E5" i="1" l="1"/>
  <c r="E4" i="1"/>
  <c r="E6" i="6"/>
  <c r="F5" i="6"/>
  <c r="D6" i="6"/>
  <c r="E6" i="1" l="1"/>
  <c r="F5" i="1"/>
  <c r="E4" i="6"/>
  <c r="F4" i="1"/>
  <c r="F6" i="6"/>
  <c r="G5" i="6"/>
  <c r="F6" i="1" l="1"/>
  <c r="G5" i="1"/>
  <c r="G4" i="1"/>
  <c r="F4" i="6"/>
  <c r="H5" i="6"/>
  <c r="G6" i="6"/>
  <c r="H5" i="1" l="1"/>
  <c r="G6" i="1"/>
  <c r="H4" i="1"/>
  <c r="G4" i="6"/>
  <c r="H6" i="6"/>
  <c r="I5" i="6"/>
  <c r="I5" i="1" l="1"/>
  <c r="H6" i="1"/>
  <c r="H4" i="6"/>
  <c r="I4" i="1"/>
  <c r="J5" i="6"/>
  <c r="I6" i="6"/>
  <c r="J5" i="1" l="1"/>
  <c r="I6" i="1"/>
  <c r="I4" i="6"/>
  <c r="J4" i="1"/>
  <c r="J6" i="6"/>
  <c r="K5" i="6"/>
  <c r="J6" i="1" l="1"/>
  <c r="K5" i="1"/>
  <c r="K4" i="1"/>
  <c r="J4" i="6"/>
  <c r="K6" i="6"/>
  <c r="L5" i="6"/>
  <c r="K6" i="1" l="1"/>
  <c r="L5" i="1"/>
  <c r="K4" i="6"/>
  <c r="L4" i="1"/>
  <c r="M5" i="6"/>
  <c r="L6" i="6"/>
  <c r="L6" i="1" l="1"/>
  <c r="M5" i="1"/>
  <c r="L4" i="6"/>
  <c r="M4" i="1"/>
  <c r="N5" i="6"/>
  <c r="M6" i="6"/>
  <c r="M6" i="1" l="1"/>
  <c r="N5" i="1"/>
  <c r="M4" i="6"/>
  <c r="N4" i="1"/>
  <c r="O5" i="6"/>
  <c r="N6" i="6"/>
  <c r="O5" i="1" l="1"/>
  <c r="N6" i="1"/>
  <c r="N4" i="6"/>
  <c r="O4" i="1"/>
  <c r="O4" i="6" s="1"/>
  <c r="O6" i="6"/>
  <c r="O6" i="1" l="1"/>
  <c r="O55" i="1"/>
  <c r="O16" i="1" l="1"/>
  <c r="N55" i="1" l="1"/>
  <c r="N16" i="1"/>
  <c r="N29" i="1"/>
  <c r="N21" i="1"/>
  <c r="M36" i="1" l="1"/>
  <c r="M21" i="1"/>
  <c r="M55" i="1"/>
  <c r="M16" i="1" l="1"/>
  <c r="L31" i="1"/>
  <c r="L21" i="1"/>
  <c r="L29" i="1"/>
  <c r="L55" i="1"/>
  <c r="L33" i="1"/>
  <c r="K55" i="1" l="1"/>
  <c r="J21" i="1" l="1"/>
  <c r="J55" i="1"/>
  <c r="J29" i="1"/>
  <c r="H16" i="1"/>
  <c r="I39" i="1" l="1"/>
  <c r="I55" i="1"/>
  <c r="I36" i="1"/>
  <c r="I31" i="1"/>
  <c r="H21" i="1" l="1"/>
  <c r="H55" i="1"/>
  <c r="H33" i="1"/>
  <c r="H29" i="1"/>
  <c r="G39" i="1" l="1"/>
  <c r="G55" i="1"/>
  <c r="G21" i="1"/>
  <c r="J16" i="1" l="1"/>
  <c r="L16" i="1" s="1"/>
  <c r="I16" i="1"/>
  <c r="K16" i="1" s="1"/>
  <c r="F55" i="1" l="1"/>
  <c r="F36" i="1"/>
  <c r="F29" i="1"/>
  <c r="B3" i="6" l="1"/>
  <c r="E55" i="1"/>
  <c r="E25" i="1"/>
  <c r="E31" i="1"/>
  <c r="E33" i="1"/>
  <c r="E39" i="1"/>
  <c r="D36" i="1"/>
  <c r="D39" i="1"/>
  <c r="D55" i="1"/>
  <c r="D21" i="1"/>
  <c r="D25" i="1" s="1"/>
  <c r="D14" i="6"/>
  <c r="O25" i="1"/>
  <c r="M25" i="1"/>
  <c r="L25" i="1"/>
  <c r="C55" i="1"/>
  <c r="C39" i="1"/>
  <c r="C25" i="1"/>
  <c r="F25" i="1"/>
  <c r="G25" i="1"/>
  <c r="G14" i="6"/>
  <c r="H25" i="1"/>
  <c r="H14" i="6"/>
  <c r="I25" i="1"/>
  <c r="I14" i="6"/>
  <c r="J25" i="1"/>
  <c r="J14" i="6"/>
  <c r="K25" i="1"/>
  <c r="K14" i="6"/>
  <c r="L14" i="6"/>
  <c r="M14" i="6"/>
  <c r="N25" i="1"/>
  <c r="N14" i="6"/>
  <c r="O14" i="6"/>
  <c r="F22" i="6"/>
  <c r="F14" i="6"/>
  <c r="E14" i="6"/>
  <c r="C14" i="6"/>
  <c r="C22" i="6"/>
  <c r="E22" i="6"/>
  <c r="I22" i="6"/>
  <c r="K22" i="6"/>
  <c r="E24" i="6" l="1"/>
  <c r="E34" i="1" s="1"/>
  <c r="E42" i="1" s="1"/>
  <c r="E44" i="1" s="1"/>
  <c r="N22" i="6"/>
  <c r="N24" i="6" s="1"/>
  <c r="N34" i="1" s="1"/>
  <c r="N42" i="1" s="1"/>
  <c r="N44" i="1" s="1"/>
  <c r="C24" i="6"/>
  <c r="C34" i="1" s="1"/>
  <c r="C42" i="1" s="1"/>
  <c r="C44" i="1" s="1"/>
  <c r="C48" i="1" s="1"/>
  <c r="D46" i="1" s="1"/>
  <c r="L22" i="6"/>
  <c r="L24" i="6" s="1"/>
  <c r="L34" i="1" s="1"/>
  <c r="L42" i="1" s="1"/>
  <c r="L44" i="1" s="1"/>
  <c r="J22" i="6"/>
  <c r="J24" i="6" s="1"/>
  <c r="J34" i="1" s="1"/>
  <c r="J42" i="1" s="1"/>
  <c r="J44" i="1" s="1"/>
  <c r="O22" i="6"/>
  <c r="O24" i="6" s="1"/>
  <c r="O34" i="1" s="1"/>
  <c r="O42" i="1" s="1"/>
  <c r="O44" i="1" s="1"/>
  <c r="H22" i="6"/>
  <c r="H24" i="6" s="1"/>
  <c r="H34" i="1" s="1"/>
  <c r="H42" i="1" s="1"/>
  <c r="H44" i="1" s="1"/>
  <c r="G22" i="6"/>
  <c r="G24" i="6" s="1"/>
  <c r="G34" i="1" s="1"/>
  <c r="G42" i="1" s="1"/>
  <c r="G44" i="1" s="1"/>
  <c r="K24" i="6"/>
  <c r="K34" i="1" s="1"/>
  <c r="K42" i="1" s="1"/>
  <c r="K44" i="1" s="1"/>
  <c r="I24" i="6"/>
  <c r="I34" i="1" s="1"/>
  <c r="I42" i="1" s="1"/>
  <c r="I44" i="1" s="1"/>
  <c r="F24" i="6"/>
  <c r="F34" i="1" s="1"/>
  <c r="F42" i="1" s="1"/>
  <c r="F44" i="1" s="1"/>
  <c r="D22" i="6" l="1"/>
  <c r="D24" i="6" s="1"/>
  <c r="D34" i="1" s="1"/>
  <c r="D42" i="1" s="1"/>
  <c r="D44" i="1" s="1"/>
  <c r="D48" i="1" s="1"/>
  <c r="M22" i="6"/>
  <c r="M24" i="6" s="1"/>
  <c r="M34" i="1" s="1"/>
  <c r="M42" i="1" s="1"/>
  <c r="M44" i="1" s="1"/>
  <c r="C57" i="1"/>
  <c r="E46" i="1" l="1"/>
  <c r="E48" i="1" s="1"/>
  <c r="F46" i="1" s="1"/>
  <c r="F48" i="1" s="1"/>
  <c r="D57" i="1"/>
  <c r="O3" i="1"/>
  <c r="E57" i="1" l="1"/>
  <c r="F57" i="1"/>
  <c r="G46" i="1"/>
  <c r="G48" i="1" s="1"/>
  <c r="H46" i="1" l="1"/>
  <c r="G57" i="1"/>
  <c r="H48" i="1" l="1"/>
  <c r="H57" i="1" s="1"/>
  <c r="I46" i="1" l="1"/>
  <c r="I48" i="1" s="1"/>
  <c r="J46" i="1" l="1"/>
  <c r="I57" i="1"/>
  <c r="J48" i="1" l="1"/>
  <c r="J57" i="1" s="1"/>
  <c r="K46" i="1" l="1"/>
  <c r="K48" i="1" s="1"/>
  <c r="L46" i="1" l="1"/>
  <c r="L48" i="1" s="1"/>
  <c r="K57" i="1"/>
  <c r="L57" i="1" l="1"/>
  <c r="M46" i="1"/>
  <c r="M48" i="1" s="1"/>
  <c r="N46" i="1" l="1"/>
  <c r="N48" i="1" s="1"/>
  <c r="M57" i="1"/>
  <c r="O46" i="1" l="1"/>
  <c r="O48" i="1" s="1"/>
  <c r="N57" i="1"/>
  <c r="O57" i="1" l="1"/>
</calcChain>
</file>

<file path=xl/sharedStrings.xml><?xml version="1.0" encoding="utf-8"?>
<sst xmlns="http://schemas.openxmlformats.org/spreadsheetml/2006/main" count="67" uniqueCount="54">
  <si>
    <t>Week Ending:</t>
  </si>
  <si>
    <t>Other</t>
  </si>
  <si>
    <t>Total Cash Inflows</t>
  </si>
  <si>
    <t>Total Outflows</t>
  </si>
  <si>
    <t>Net Change in Cash</t>
  </si>
  <si>
    <t>Opening Cash</t>
  </si>
  <si>
    <t>Closing Cash</t>
  </si>
  <si>
    <t>13 Week Rolling Cash Flow</t>
  </si>
  <si>
    <t>A/R Collections</t>
  </si>
  <si>
    <t>Test</t>
  </si>
  <si>
    <t>Total</t>
  </si>
  <si>
    <t>CAD</t>
  </si>
  <si>
    <t>mixed at currency at</t>
  </si>
  <si>
    <t>Sales:</t>
  </si>
  <si>
    <t>HR</t>
  </si>
  <si>
    <t>Insurance</t>
  </si>
  <si>
    <t>Telecom</t>
  </si>
  <si>
    <t>Suppliers</t>
  </si>
  <si>
    <t>Freight</t>
  </si>
  <si>
    <t>Rent</t>
  </si>
  <si>
    <t>Bank Charges</t>
  </si>
  <si>
    <t>Marketing</t>
  </si>
  <si>
    <t>Utilities</t>
  </si>
  <si>
    <t>Product Suppliers</t>
  </si>
  <si>
    <t>Total Product Suppliers</t>
  </si>
  <si>
    <t>Total Freight</t>
  </si>
  <si>
    <t>Shareholder Advance</t>
  </si>
  <si>
    <t>Shareholder Repayment</t>
  </si>
  <si>
    <t>Human Resources</t>
  </si>
  <si>
    <t>ABC Inc.</t>
  </si>
  <si>
    <t>Manager</t>
  </si>
  <si>
    <t>Supervisor</t>
  </si>
  <si>
    <t>Employee</t>
  </si>
  <si>
    <t>Week Beginning:</t>
  </si>
  <si>
    <t>Freight Provider 1</t>
  </si>
  <si>
    <t>Freight Provider 2</t>
  </si>
  <si>
    <t>Warehousing</t>
  </si>
  <si>
    <t>Customs Broker</t>
  </si>
  <si>
    <t>Supplier 1</t>
  </si>
  <si>
    <t>Supplier 2</t>
  </si>
  <si>
    <t>Supplier 3</t>
  </si>
  <si>
    <t>Supplier 4</t>
  </si>
  <si>
    <t>Projected Collections:</t>
  </si>
  <si>
    <t>Total Supplier Payments</t>
  </si>
  <si>
    <t>Collections (Average 30 day AR Terms)</t>
  </si>
  <si>
    <t>Over/Under Collections</t>
  </si>
  <si>
    <t>Cash Inflows:</t>
  </si>
  <si>
    <t>Cash Outflows:</t>
  </si>
  <si>
    <t>Lender Advance</t>
  </si>
  <si>
    <t>Other Non-Client Collections (Tax, refunds, etc.)</t>
  </si>
  <si>
    <t>Tax</t>
  </si>
  <si>
    <t>Reconciliation to Closing Bank Balance</t>
  </si>
  <si>
    <t>USD (As quoted on bank statement, do not apply exchange rate)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</si>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</sst>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1009]d\-mmm\-yy;@"/>
    <numFmt numFmtId="166" formatCode="_-* #,##0_-;\-* #,##0_-;_-* &quot;-&quot;??_-;_-@_-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Garamond"/>
      <family val="2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i/>
      <sz val="16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i/>
      <sz val="12"/>
      <color theme="1"/>
      <name val="Garamond"/>
      <family val="1"/>
    </font>
    <font>
      <i/>
      <sz val="12"/>
      <color theme="1"/>
      <name val="Garamond"/>
      <family val="1"/>
    </font>
    <font>
      <sz val="10"/>
      <color rgb="FF000000"/>
      <name val="Arial"/>
      <family val="2"/>
    </font>
    <font>
      <b/>
      <sz val="11"/>
      <color theme="1"/>
      <name val="Garamond"/>
      <family val="1"/>
    </font>
    <font>
      <b/>
      <i/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Garamond"/>
      <family val="1"/>
    </font>
    <font>
      <i/>
      <sz val="11"/>
      <color theme="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2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29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3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3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0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30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30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0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2" borderId="0" xfId="0" applyFont="1" applyFill="1" applyAlignment="1">
      <alignment vertical="top"/>
    </xf>
    <xf numFmtId="165" fontId="6" fillId="2" borderId="0" xfId="0" applyNumberFormat="1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165" fontId="6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37" fontId="7" fillId="0" borderId="0" xfId="0" applyNumberFormat="1" applyFont="1" applyFill="1" applyAlignment="1">
      <alignment vertical="top"/>
    </xf>
    <xf numFmtId="37" fontId="6" fillId="0" borderId="0" xfId="0" applyNumberFormat="1" applyFont="1" applyFill="1" applyAlignment="1">
      <alignment vertical="top"/>
    </xf>
    <xf numFmtId="37" fontId="5" fillId="0" borderId="0" xfId="0" applyNumberFormat="1" applyFont="1" applyFill="1" applyAlignment="1">
      <alignment vertical="top"/>
    </xf>
    <xf numFmtId="37" fontId="5" fillId="0" borderId="0" xfId="0" applyNumberFormat="1" applyFont="1" applyAlignment="1">
      <alignment vertical="top"/>
    </xf>
    <xf numFmtId="37" fontId="5" fillId="0" borderId="1" xfId="0" applyNumberFormat="1" applyFont="1" applyFill="1" applyBorder="1" applyAlignment="1">
      <alignment vertical="top"/>
    </xf>
    <xf numFmtId="37" fontId="6" fillId="0" borderId="1" xfId="0" applyNumberFormat="1" applyFont="1" applyFill="1" applyBorder="1" applyAlignment="1">
      <alignment vertical="top"/>
    </xf>
    <xf numFmtId="37" fontId="6" fillId="0" borderId="0" xfId="1" applyNumberFormat="1" applyFont="1" applyFill="1" applyAlignment="1">
      <alignment vertical="top"/>
    </xf>
    <xf numFmtId="37" fontId="5" fillId="0" borderId="0" xfId="1" applyNumberFormat="1" applyFont="1" applyFill="1" applyAlignment="1">
      <alignment vertical="top"/>
    </xf>
    <xf numFmtId="37" fontId="5" fillId="0" borderId="1" xfId="1" applyNumberFormat="1" applyFont="1" applyFill="1" applyBorder="1" applyAlignment="1">
      <alignment vertical="top"/>
    </xf>
    <xf numFmtId="37" fontId="5" fillId="0" borderId="0" xfId="0" applyNumberFormat="1" applyFont="1" applyFill="1" applyBorder="1" applyAlignment="1">
      <alignment vertical="top"/>
    </xf>
    <xf numFmtId="37" fontId="8" fillId="0" borderId="0" xfId="0" applyNumberFormat="1" applyFont="1" applyFill="1" applyAlignment="1">
      <alignment vertical="top"/>
    </xf>
    <xf numFmtId="1" fontId="6" fillId="2" borderId="0" xfId="0" applyNumberFormat="1" applyFont="1" applyFill="1" applyAlignment="1">
      <alignment vertical="top"/>
    </xf>
    <xf numFmtId="1" fontId="5" fillId="2" borderId="0" xfId="0" applyNumberFormat="1" applyFont="1" applyFill="1" applyAlignment="1">
      <alignment vertical="top"/>
    </xf>
    <xf numFmtId="37" fontId="5" fillId="0" borderId="0" xfId="0" applyNumberFormat="1" applyFont="1" applyFill="1" applyAlignment="1">
      <alignment horizontal="right" vertical="top"/>
    </xf>
    <xf numFmtId="164" fontId="8" fillId="0" borderId="0" xfId="0" applyNumberFormat="1" applyFont="1" applyAlignment="1">
      <alignment vertical="top"/>
    </xf>
    <xf numFmtId="37" fontId="6" fillId="0" borderId="1" xfId="1" applyNumberFormat="1" applyFont="1" applyFill="1" applyBorder="1" applyAlignment="1">
      <alignment vertical="top"/>
    </xf>
    <xf numFmtId="0" fontId="0" fillId="0" borderId="1" xfId="0" applyBorder="1"/>
    <xf numFmtId="0" fontId="3" fillId="0" borderId="0" xfId="0" applyFont="1"/>
    <xf numFmtId="43" fontId="3" fillId="0" borderId="0" xfId="1" applyFont="1"/>
    <xf numFmtId="0" fontId="3" fillId="0" borderId="1" xfId="0" applyFont="1" applyBorder="1"/>
    <xf numFmtId="43" fontId="3" fillId="0" borderId="1" xfId="1" applyFont="1" applyBorder="1"/>
    <xf numFmtId="0" fontId="10" fillId="0" borderId="0" xfId="0" applyFont="1"/>
    <xf numFmtId="0" fontId="10" fillId="0" borderId="1" xfId="0" applyFont="1" applyBorder="1"/>
    <xf numFmtId="0" fontId="10" fillId="0" borderId="0" xfId="0" applyFont="1" applyFill="1" applyBorder="1"/>
    <xf numFmtId="0" fontId="11" fillId="0" borderId="0" xfId="0" applyFont="1"/>
    <xf numFmtId="0" fontId="12" fillId="0" borderId="0" xfId="0" applyFont="1"/>
    <xf numFmtId="166" fontId="3" fillId="0" borderId="0" xfId="1" applyNumberFormat="1" applyFont="1"/>
    <xf numFmtId="0" fontId="10" fillId="0" borderId="2" xfId="0" applyFont="1" applyBorder="1"/>
    <xf numFmtId="0" fontId="12" fillId="0" borderId="2" xfId="0" applyFont="1" applyBorder="1"/>
    <xf numFmtId="166" fontId="10" fillId="0" borderId="2" xfId="1" applyNumberFormat="1" applyFont="1" applyBorder="1"/>
    <xf numFmtId="37" fontId="5" fillId="0" borderId="0" xfId="1" applyNumberFormat="1" applyFont="1" applyFill="1" applyBorder="1"/>
    <xf numFmtId="37" fontId="6" fillId="0" borderId="2" xfId="0" applyNumberFormat="1" applyFont="1" applyFill="1" applyBorder="1" applyAlignment="1">
      <alignment vertical="top"/>
    </xf>
    <xf numFmtId="37" fontId="5" fillId="0" borderId="2" xfId="0" applyNumberFormat="1" applyFont="1" applyFill="1" applyBorder="1" applyAlignment="1">
      <alignment vertical="top"/>
    </xf>
    <xf numFmtId="43" fontId="5" fillId="3" borderId="0" xfId="1" applyFont="1" applyFill="1" applyAlignment="1">
      <alignment vertical="top"/>
    </xf>
    <xf numFmtId="43" fontId="3" fillId="0" borderId="0" xfId="0" applyNumberFormat="1" applyFont="1" applyAlignment="1">
      <alignment vertical="top"/>
    </xf>
    <xf numFmtId="1" fontId="5" fillId="0" borderId="0" xfId="0" applyNumberFormat="1" applyFont="1" applyAlignment="1">
      <alignment vertical="top"/>
    </xf>
    <xf numFmtId="166" fontId="3" fillId="0" borderId="0" xfId="0" applyNumberFormat="1" applyFont="1" applyAlignment="1">
      <alignment vertical="top"/>
    </xf>
    <xf numFmtId="39" fontId="5" fillId="0" borderId="1" xfId="1" applyNumberFormat="1" applyFont="1" applyFill="1" applyBorder="1" applyAlignment="1">
      <alignment vertical="top"/>
    </xf>
    <xf numFmtId="166" fontId="8" fillId="0" borderId="0" xfId="1" applyNumberFormat="1" applyFont="1" applyFill="1" applyAlignment="1">
      <alignment vertical="top"/>
    </xf>
    <xf numFmtId="0" fontId="0" fillId="0" borderId="0" xfId="0"/>
    <xf numFmtId="0" fontId="3" fillId="0" borderId="1" xfId="0" applyFont="1" applyFill="1" applyBorder="1"/>
    <xf numFmtId="0" fontId="0" fillId="0" borderId="1" xfId="0" applyFill="1" applyBorder="1"/>
    <xf numFmtId="166" fontId="3" fillId="0" borderId="1" xfId="1" applyNumberFormat="1" applyFont="1" applyFill="1" applyBorder="1"/>
    <xf numFmtId="1" fontId="31" fillId="0" borderId="0" xfId="0" applyNumberFormat="1" applyFont="1" applyAlignment="1">
      <alignment vertical="top"/>
    </xf>
    <xf numFmtId="166" fontId="3" fillId="0" borderId="0" xfId="1" applyNumberFormat="1" applyFont="1" applyFill="1"/>
    <xf numFmtId="0" fontId="0" fillId="0" borderId="0" xfId="0"/>
    <xf numFmtId="43" fontId="3" fillId="0" borderId="0" xfId="1" applyFont="1" applyBorder="1"/>
    <xf numFmtId="0" fontId="0" fillId="0" borderId="0" xfId="0" applyFill="1"/>
    <xf numFmtId="166" fontId="10" fillId="0" borderId="0" xfId="1" applyNumberFormat="1" applyFont="1" applyFill="1"/>
    <xf numFmtId="39" fontId="5" fillId="0" borderId="0" xfId="1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43" fontId="3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43" fontId="3" fillId="0" borderId="1" xfId="0" applyNumberFormat="1" applyFont="1" applyFill="1" applyBorder="1" applyAlignment="1">
      <alignment vertical="top"/>
    </xf>
    <xf numFmtId="0" fontId="32" fillId="0" borderId="0" xfId="0" applyFont="1" applyAlignment="1">
      <alignment vertical="top"/>
    </xf>
    <xf numFmtId="43" fontId="32" fillId="0" borderId="0" xfId="0" applyNumberFormat="1" applyFont="1" applyFill="1" applyAlignment="1">
      <alignment vertical="top"/>
    </xf>
    <xf numFmtId="166" fontId="32" fillId="0" borderId="0" xfId="0" applyNumberFormat="1" applyFont="1" applyFill="1" applyAlignment="1">
      <alignment vertical="top"/>
    </xf>
  </cellXfs>
  <cellStyles count="53">
    <cellStyle name="20% - Accent1 2" xfId="27" xr:uid="{6690CA06-1D52-447D-B98F-1C4FBFB3E3AF}"/>
    <cellStyle name="20% - Accent2 2" xfId="31" xr:uid="{E38B5BFB-58FC-452D-BDAB-9F2EAFFE51ED}"/>
    <cellStyle name="20% - Accent3 2" xfId="35" xr:uid="{E972D4D0-F67F-4174-BC7E-F098AEA3A2EF}"/>
    <cellStyle name="20% - Accent4 2" xfId="39" xr:uid="{12C8E2D9-74FF-4AC2-A841-B190AB10F7CD}"/>
    <cellStyle name="20% - Accent5 2" xfId="43" xr:uid="{74BAD549-08FD-4DE0-97F6-2343F044FCC7}"/>
    <cellStyle name="20% - Accent6 2" xfId="47" xr:uid="{8A37AEDF-E992-4FC9-A496-598E355BE192}"/>
    <cellStyle name="40% - Accent1 2" xfId="28" xr:uid="{50D2C5A4-05CB-485A-A061-445181CB992E}"/>
    <cellStyle name="40% - Accent2 2" xfId="32" xr:uid="{B9D4E515-8E3C-4AFC-8921-A478420DC71A}"/>
    <cellStyle name="40% - Accent3 2" xfId="36" xr:uid="{813CD1EE-29D6-4E06-96AC-C84A7143553D}"/>
    <cellStyle name="40% - Accent4 2" xfId="40" xr:uid="{413AF732-6E13-48DC-8F30-85ACAF37FD63}"/>
    <cellStyle name="40% - Accent5 2" xfId="44" xr:uid="{48A5FDAF-B390-4C0F-BB35-F9B100A56A24}"/>
    <cellStyle name="40% - Accent6 2" xfId="48" xr:uid="{79EF27A6-32B6-48E9-8F29-44F7E55C3052}"/>
    <cellStyle name="60% - Accent1 2" xfId="29" xr:uid="{6A64F917-025D-486E-9CD0-23A5C8E164DB}"/>
    <cellStyle name="60% - Accent2 2" xfId="33" xr:uid="{BFD1682D-AED0-41C8-AC66-53FB67731CCF}"/>
    <cellStyle name="60% - Accent3 2" xfId="37" xr:uid="{D15EC1DD-3FD0-4942-A281-FA521C20165F}"/>
    <cellStyle name="60% - Accent4 2" xfId="41" xr:uid="{F079BC4F-439F-4647-9C0E-1F6ACAF9DB2B}"/>
    <cellStyle name="60% - Accent5 2" xfId="45" xr:uid="{2C1948CB-6B8C-484E-8C27-3902DA8A6EE8}"/>
    <cellStyle name="60% - Accent6 2" xfId="49" xr:uid="{2449657C-1E4C-4408-80CB-467C417E48B5}"/>
    <cellStyle name="Accent1 2" xfId="26" xr:uid="{17FD9490-F5F8-40EC-B4D4-2FA5CE7F14D3}"/>
    <cellStyle name="Accent2 2" xfId="30" xr:uid="{F51DB04C-B986-4FE9-9B30-523E82AB0839}"/>
    <cellStyle name="Accent3 2" xfId="34" xr:uid="{8E6ED705-23B0-43A6-9C26-19BBF6059463}"/>
    <cellStyle name="Accent4 2" xfId="38" xr:uid="{EC57AED1-1ADA-4480-B6E5-573CCA053D98}"/>
    <cellStyle name="Accent5 2" xfId="42" xr:uid="{B6D6612C-E4DD-4C62-88C3-3941EBA7FA92}"/>
    <cellStyle name="Accent6 2" xfId="46" xr:uid="{2EC796F7-A9CF-4C20-A5C4-5C61C20C28C2}"/>
    <cellStyle name="Bad 2" xfId="15" xr:uid="{B381D375-65D7-4D2F-AE6D-7EBB7CAE03D1}"/>
    <cellStyle name="Calculation 2" xfId="19" xr:uid="{E3C0D758-B630-46E9-90D4-640182956C19}"/>
    <cellStyle name="Check Cell 2" xfId="21" xr:uid="{4FACDCF3-DE35-4DD6-B610-90CBB11A6957}"/>
    <cellStyle name="Comma" xfId="1" builtinId="3"/>
    <cellStyle name="Comma 2" xfId="3" xr:uid="{5AF8E954-31F5-BF48-AFFC-4B7983030AF0}"/>
    <cellStyle name="Comma 3" xfId="8" xr:uid="{EDBDD199-34C9-4329-AA36-960D78EFBA19}"/>
    <cellStyle name="Comma 4" xfId="52" xr:uid="{418CA91F-3FBC-4B1D-9375-AE6733C214A7}"/>
    <cellStyle name="Currency 2" xfId="4" xr:uid="{D47CBAFE-F779-1F40-9D8A-4BC9471CE902}"/>
    <cellStyle name="Currency 2 2" xfId="51" xr:uid="{B2D7559A-46FD-4791-9862-8A41F783BFA8}"/>
    <cellStyle name="Currency 3" xfId="50" xr:uid="{87A07B25-C381-4F2F-8535-4526F4FCCFA6}"/>
    <cellStyle name="Explanatory Text 2" xfId="24" xr:uid="{F80ABB1A-918C-434C-A673-C861C2A9B646}"/>
    <cellStyle name="Good 2" xfId="14" xr:uid="{7DAB19B9-7CCA-46C8-8C62-15B027AA409C}"/>
    <cellStyle name="Heading 1 2" xfId="9" xr:uid="{17EC71C7-98B2-4564-AE41-FE6694D38A78}"/>
    <cellStyle name="Heading 2 2" xfId="10" xr:uid="{C64EED76-4965-4AB1-8A71-DB76A6677EA3}"/>
    <cellStyle name="Heading 3 2" xfId="11" xr:uid="{C4781E87-8565-48A8-A955-C56651A57402}"/>
    <cellStyle name="Heading 4 2" xfId="12" xr:uid="{0567F674-D1F7-4C92-B26B-1CEE9465D5CE}"/>
    <cellStyle name="Input 2" xfId="17" xr:uid="{F7CCFFDD-9C92-4892-BBC9-4FECA2D2671A}"/>
    <cellStyle name="Linked Cell 2" xfId="20" xr:uid="{DB576CC5-4B2D-4384-A013-986DF5C07AE3}"/>
    <cellStyle name="Neutral 2" xfId="16" xr:uid="{1C812C06-07B8-42F9-83BD-63A2A6EF6AF1}"/>
    <cellStyle name="Normal" xfId="0" builtinId="0"/>
    <cellStyle name="Normal 2" xfId="2" xr:uid="{04DBC49B-4021-45F1-9A02-5408328D37A3}"/>
    <cellStyle name="Normal 2 2" xfId="13" xr:uid="{1CCD5AD5-3C98-4C1C-9421-82864D9E5A4B}"/>
    <cellStyle name="Normal 3" xfId="5" xr:uid="{EE1D4520-B046-44D8-B679-EED37F078D07}"/>
    <cellStyle name="Normal 4" xfId="7" xr:uid="{87258DBC-204A-4F84-ABC0-9D7E43DECFE8}"/>
    <cellStyle name="Note 2" xfId="23" xr:uid="{D8A7E5D9-0DEA-4DAE-8919-6AD3C5814105}"/>
    <cellStyle name="Output 2" xfId="18" xr:uid="{12DE383E-595E-4D08-8509-D140670EDE47}"/>
    <cellStyle name="Title" xfId="6" builtinId="15" customBuiltin="1"/>
    <cellStyle name="Total 2" xfId="25" xr:uid="{EE19AB14-77B8-4643-84A6-8FECE702F751}"/>
    <cellStyle name="Warning Text 2" xfId="22" xr:uid="{82A17E29-E4D3-43A7-9B41-FEA03BB395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5698-B44A-461B-807A-063969F9A12D}">
  <dimension ref="A1:O58"/>
  <sheetViews>
    <sheetView tabSelected="1" zoomScale="70" zoomScaleNormal="7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H11" sqref="H11"/>
    </sheetView>
  </sheetViews>
  <sheetFormatPr defaultColWidth="8.54296875" defaultRowHeight="14.5" x14ac:dyDescent="0.35"/>
  <cols>
    <col min="1" max="1" width="25.54296875" style="1" customWidth="1"/>
    <col min="2" max="2" width="11.1796875" style="1" customWidth="1"/>
    <col min="3" max="8" width="10.81640625" style="1" customWidth="1"/>
    <col min="9" max="9" width="10.81640625" style="1" customWidth="1" collapsed="1"/>
    <col min="10" max="13" width="10.81640625" style="1" customWidth="1"/>
    <col min="14" max="14" width="10.81640625" style="1" customWidth="1" collapsed="1"/>
    <col min="15" max="15" width="10.81640625" style="1" customWidth="1"/>
    <col min="16" max="16384" width="8.54296875" style="1"/>
  </cols>
  <sheetData>
    <row r="1" spans="1:15" ht="20.5" x14ac:dyDescent="0.35">
      <c r="A1" s="2" t="s">
        <v>29</v>
      </c>
      <c r="B1" s="2"/>
      <c r="M1" s="44"/>
    </row>
    <row r="2" spans="1:15" ht="20.5" x14ac:dyDescent="0.35">
      <c r="A2" s="2" t="s">
        <v>7</v>
      </c>
      <c r="B2" s="2"/>
      <c r="M2" s="46"/>
    </row>
    <row r="3" spans="1:15" s="3" customFormat="1" ht="15.5" x14ac:dyDescent="0.35">
      <c r="A3" s="24" t="s">
        <v>12</v>
      </c>
      <c r="B3" s="43">
        <v>1.3</v>
      </c>
      <c r="H3" s="45"/>
      <c r="I3" s="53"/>
      <c r="J3" s="53"/>
      <c r="K3" s="53"/>
      <c r="L3" s="53"/>
      <c r="M3" s="53"/>
      <c r="N3" s="53"/>
      <c r="O3" s="53">
        <f t="shared" ref="O3" si="0">O4</f>
        <v>13</v>
      </c>
    </row>
    <row r="4" spans="1:15" s="22" customFormat="1" ht="15.5" x14ac:dyDescent="0.35">
      <c r="A4" s="21"/>
      <c r="B4" s="21"/>
      <c r="C4" s="21">
        <v>1</v>
      </c>
      <c r="D4" s="21">
        <f>C4+1</f>
        <v>2</v>
      </c>
      <c r="E4" s="21">
        <f t="shared" ref="E4:O4" si="1">D4+1</f>
        <v>3</v>
      </c>
      <c r="F4" s="21">
        <f t="shared" si="1"/>
        <v>4</v>
      </c>
      <c r="G4" s="21">
        <f t="shared" si="1"/>
        <v>5</v>
      </c>
      <c r="H4" s="21">
        <f t="shared" si="1"/>
        <v>6</v>
      </c>
      <c r="I4" s="21">
        <f t="shared" si="1"/>
        <v>7</v>
      </c>
      <c r="J4" s="21">
        <f t="shared" si="1"/>
        <v>8</v>
      </c>
      <c r="K4" s="21">
        <f t="shared" si="1"/>
        <v>9</v>
      </c>
      <c r="L4" s="21">
        <f t="shared" si="1"/>
        <v>10</v>
      </c>
      <c r="M4" s="21">
        <f t="shared" si="1"/>
        <v>11</v>
      </c>
      <c r="N4" s="21">
        <f t="shared" si="1"/>
        <v>12</v>
      </c>
      <c r="O4" s="21">
        <f t="shared" si="1"/>
        <v>13</v>
      </c>
    </row>
    <row r="5" spans="1:15" s="22" customFormat="1" ht="15.5" x14ac:dyDescent="0.35">
      <c r="A5" s="4" t="s">
        <v>33</v>
      </c>
      <c r="B5" s="21"/>
      <c r="C5" s="5">
        <v>43717</v>
      </c>
      <c r="D5" s="5">
        <f>C5+7</f>
        <v>43724</v>
      </c>
      <c r="E5" s="5">
        <f t="shared" ref="E5:O5" si="2">D5+7</f>
        <v>43731</v>
      </c>
      <c r="F5" s="5">
        <f t="shared" si="2"/>
        <v>43738</v>
      </c>
      <c r="G5" s="5">
        <f t="shared" si="2"/>
        <v>43745</v>
      </c>
      <c r="H5" s="5">
        <f t="shared" si="2"/>
        <v>43752</v>
      </c>
      <c r="I5" s="5">
        <f t="shared" si="2"/>
        <v>43759</v>
      </c>
      <c r="J5" s="5">
        <f t="shared" si="2"/>
        <v>43766</v>
      </c>
      <c r="K5" s="5">
        <f t="shared" si="2"/>
        <v>43773</v>
      </c>
      <c r="L5" s="5">
        <f t="shared" si="2"/>
        <v>43780</v>
      </c>
      <c r="M5" s="5">
        <f t="shared" si="2"/>
        <v>43787</v>
      </c>
      <c r="N5" s="5">
        <f t="shared" si="2"/>
        <v>43794</v>
      </c>
      <c r="O5" s="5">
        <f t="shared" si="2"/>
        <v>43801</v>
      </c>
    </row>
    <row r="6" spans="1:15" s="6" customFormat="1" ht="15.5" x14ac:dyDescent="0.35">
      <c r="A6" s="4" t="s">
        <v>0</v>
      </c>
      <c r="B6" s="4"/>
      <c r="C6" s="5">
        <f>C5+4</f>
        <v>43721</v>
      </c>
      <c r="D6" s="5">
        <f>D5+4</f>
        <v>43728</v>
      </c>
      <c r="E6" s="5">
        <f t="shared" ref="E6:O6" si="3">E5+4</f>
        <v>43735</v>
      </c>
      <c r="F6" s="5">
        <f t="shared" si="3"/>
        <v>43742</v>
      </c>
      <c r="G6" s="5">
        <f t="shared" si="3"/>
        <v>43749</v>
      </c>
      <c r="H6" s="5">
        <f t="shared" si="3"/>
        <v>43756</v>
      </c>
      <c r="I6" s="5">
        <f t="shared" si="3"/>
        <v>43763</v>
      </c>
      <c r="J6" s="5">
        <f t="shared" si="3"/>
        <v>43770</v>
      </c>
      <c r="K6" s="5">
        <f t="shared" si="3"/>
        <v>43777</v>
      </c>
      <c r="L6" s="5">
        <f t="shared" si="3"/>
        <v>43784</v>
      </c>
      <c r="M6" s="5">
        <f t="shared" si="3"/>
        <v>43791</v>
      </c>
      <c r="N6" s="5">
        <f t="shared" si="3"/>
        <v>43798</v>
      </c>
      <c r="O6" s="5">
        <f t="shared" si="3"/>
        <v>43805</v>
      </c>
    </row>
    <row r="7" spans="1:15" s="9" customFormat="1" ht="15.5" x14ac:dyDescent="0.35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9" customFormat="1" ht="15.5" x14ac:dyDescent="0.35">
      <c r="A8" s="10" t="s">
        <v>13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9" customFormat="1" ht="15.5" x14ac:dyDescent="0.35">
      <c r="A9" s="10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s="9" customFormat="1" ht="15.5" x14ac:dyDescent="0.35">
      <c r="A10" s="9" t="s">
        <v>11</v>
      </c>
      <c r="B10" s="7"/>
      <c r="C10" s="17">
        <v>47000</v>
      </c>
      <c r="D10" s="17">
        <v>48000</v>
      </c>
      <c r="E10" s="17">
        <v>50000</v>
      </c>
      <c r="F10" s="17">
        <v>51000</v>
      </c>
      <c r="G10" s="17">
        <v>60000</v>
      </c>
      <c r="H10" s="17">
        <v>50000</v>
      </c>
      <c r="I10" s="17">
        <v>75000</v>
      </c>
      <c r="J10" s="17">
        <v>80000</v>
      </c>
      <c r="K10" s="17">
        <v>45000</v>
      </c>
      <c r="L10" s="17">
        <v>50000</v>
      </c>
      <c r="M10" s="17">
        <v>45000</v>
      </c>
      <c r="N10" s="17">
        <v>50000</v>
      </c>
      <c r="O10" s="17">
        <v>50000</v>
      </c>
    </row>
    <row r="11" spans="1:15" s="9" customFormat="1" ht="15.5" x14ac:dyDescent="0.35">
      <c r="B11" s="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s="9" customFormat="1" ht="15.5" x14ac:dyDescent="0.35">
      <c r="A12" s="10" t="s">
        <v>42</v>
      </c>
      <c r="B12" s="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s="9" customFormat="1" ht="15.5" x14ac:dyDescent="0.35">
      <c r="A13" s="10"/>
      <c r="B13" s="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s="12" customFormat="1" ht="15.5" x14ac:dyDescent="0.35">
      <c r="A14" s="12" t="s">
        <v>44</v>
      </c>
      <c r="C14" s="17">
        <v>45000</v>
      </c>
      <c r="D14" s="17">
        <v>45000</v>
      </c>
      <c r="E14" s="17">
        <v>45000</v>
      </c>
      <c r="F14" s="17">
        <v>45000</v>
      </c>
      <c r="G14" s="17">
        <f>C10</f>
        <v>47000</v>
      </c>
      <c r="H14" s="17">
        <f t="shared" ref="H14:O14" si="4">D10</f>
        <v>48000</v>
      </c>
      <c r="I14" s="17">
        <f t="shared" si="4"/>
        <v>50000</v>
      </c>
      <c r="J14" s="17">
        <f t="shared" si="4"/>
        <v>51000</v>
      </c>
      <c r="K14" s="17">
        <f t="shared" si="4"/>
        <v>60000</v>
      </c>
      <c r="L14" s="17">
        <f t="shared" si="4"/>
        <v>50000</v>
      </c>
      <c r="M14" s="17">
        <f t="shared" si="4"/>
        <v>75000</v>
      </c>
      <c r="N14" s="17">
        <f t="shared" si="4"/>
        <v>80000</v>
      </c>
      <c r="O14" s="17">
        <f t="shared" si="4"/>
        <v>45000</v>
      </c>
    </row>
    <row r="15" spans="1:15" s="12" customFormat="1" ht="15.5" x14ac:dyDescent="0.35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s="9" customFormat="1" ht="15.5" x14ac:dyDescent="0.35">
      <c r="A16" s="63" t="s">
        <v>45</v>
      </c>
      <c r="B16" s="7"/>
      <c r="C16" s="48">
        <f t="shared" ref="C16:G16" si="5">C20-C14</f>
        <v>20000</v>
      </c>
      <c r="D16" s="48">
        <f t="shared" si="5"/>
        <v>-10000</v>
      </c>
      <c r="E16" s="48">
        <f t="shared" si="5"/>
        <v>0</v>
      </c>
      <c r="F16" s="48">
        <f t="shared" si="5"/>
        <v>5000</v>
      </c>
      <c r="G16" s="48">
        <f t="shared" si="5"/>
        <v>0</v>
      </c>
      <c r="H16" s="48">
        <f t="shared" ref="H16:O16" si="6">H20-H14</f>
        <v>0</v>
      </c>
      <c r="I16" s="48">
        <f t="shared" si="6"/>
        <v>0</v>
      </c>
      <c r="J16" s="48">
        <f t="shared" si="6"/>
        <v>0</v>
      </c>
      <c r="K16" s="48">
        <f t="shared" si="6"/>
        <v>0</v>
      </c>
      <c r="L16" s="48">
        <f t="shared" si="6"/>
        <v>0</v>
      </c>
      <c r="M16" s="48">
        <f t="shared" si="6"/>
        <v>0</v>
      </c>
      <c r="N16" s="48">
        <f t="shared" si="6"/>
        <v>0</v>
      </c>
      <c r="O16" s="48">
        <f t="shared" si="6"/>
        <v>0</v>
      </c>
    </row>
    <row r="17" spans="1:15" s="9" customFormat="1" ht="15.5" x14ac:dyDescent="0.35">
      <c r="A17" s="63"/>
      <c r="B17" s="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s="12" customFormat="1" ht="15.5" x14ac:dyDescent="0.35">
      <c r="A18" s="10" t="s">
        <v>46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s="12" customFormat="1" ht="15.5" x14ac:dyDescent="0.3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13" customFormat="1" ht="15.5" x14ac:dyDescent="0.35">
      <c r="A20" s="13" t="s">
        <v>8</v>
      </c>
      <c r="C20" s="17">
        <v>65000</v>
      </c>
      <c r="D20" s="17">
        <v>35000</v>
      </c>
      <c r="E20" s="17">
        <v>45000</v>
      </c>
      <c r="F20" s="17">
        <v>50000</v>
      </c>
      <c r="G20" s="17">
        <f>G14</f>
        <v>47000</v>
      </c>
      <c r="H20" s="17">
        <f t="shared" ref="H20:O20" si="7">H14</f>
        <v>48000</v>
      </c>
      <c r="I20" s="17">
        <f t="shared" si="7"/>
        <v>50000</v>
      </c>
      <c r="J20" s="17">
        <f t="shared" si="7"/>
        <v>51000</v>
      </c>
      <c r="K20" s="17">
        <f t="shared" si="7"/>
        <v>60000</v>
      </c>
      <c r="L20" s="17">
        <f t="shared" si="7"/>
        <v>50000</v>
      </c>
      <c r="M20" s="17">
        <f t="shared" si="7"/>
        <v>75000</v>
      </c>
      <c r="N20" s="17">
        <f t="shared" si="7"/>
        <v>80000</v>
      </c>
      <c r="O20" s="17">
        <f t="shared" si="7"/>
        <v>45000</v>
      </c>
    </row>
    <row r="21" spans="1:15" s="13" customFormat="1" ht="15.5" x14ac:dyDescent="0.35">
      <c r="A21" s="13" t="s">
        <v>26</v>
      </c>
      <c r="C21" s="17">
        <v>0</v>
      </c>
      <c r="D21" s="17">
        <f>32000+20000*$B$3</f>
        <v>58000</v>
      </c>
      <c r="E21" s="17">
        <v>0</v>
      </c>
      <c r="F21" s="17">
        <v>8000</v>
      </c>
      <c r="G21" s="17">
        <f>5000+30000*$B$3</f>
        <v>44000</v>
      </c>
      <c r="H21" s="17">
        <f>50000+21000*$B$3</f>
        <v>77300</v>
      </c>
      <c r="I21" s="17">
        <v>25000</v>
      </c>
      <c r="J21" s="17">
        <f>35000+500*1.2762</f>
        <v>35638.1</v>
      </c>
      <c r="K21" s="17">
        <v>0</v>
      </c>
      <c r="L21" s="17">
        <f>10000*B3</f>
        <v>13000</v>
      </c>
      <c r="M21" s="17">
        <f>40000*B3+15000</f>
        <v>67000</v>
      </c>
      <c r="N21" s="17">
        <f>5000+7000*$B$3</f>
        <v>14100</v>
      </c>
      <c r="O21" s="17">
        <v>0</v>
      </c>
    </row>
    <row r="22" spans="1:15" s="13" customFormat="1" ht="15.5" x14ac:dyDescent="0.35">
      <c r="A22" s="13" t="s">
        <v>48</v>
      </c>
      <c r="C22" s="17">
        <v>1000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</row>
    <row r="23" spans="1:15" s="13" customFormat="1" ht="15.5" x14ac:dyDescent="0.35">
      <c r="A23" s="13" t="s">
        <v>49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</row>
    <row r="24" spans="1:15" s="14" customFormat="1" ht="15.5" x14ac:dyDescent="0.3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12" customFormat="1" ht="15.5" x14ac:dyDescent="0.35">
      <c r="A25" s="11" t="s">
        <v>2</v>
      </c>
      <c r="B25" s="11"/>
      <c r="C25" s="16">
        <f t="shared" ref="C25:O25" si="8">SUM(C20:C24)</f>
        <v>66000</v>
      </c>
      <c r="D25" s="16">
        <f t="shared" si="8"/>
        <v>93000</v>
      </c>
      <c r="E25" s="16">
        <f t="shared" si="8"/>
        <v>45000</v>
      </c>
      <c r="F25" s="16">
        <f t="shared" si="8"/>
        <v>58000</v>
      </c>
      <c r="G25" s="16">
        <f t="shared" si="8"/>
        <v>91000</v>
      </c>
      <c r="H25" s="16">
        <f t="shared" si="8"/>
        <v>125300</v>
      </c>
      <c r="I25" s="16">
        <f t="shared" si="8"/>
        <v>75000</v>
      </c>
      <c r="J25" s="16">
        <f t="shared" si="8"/>
        <v>86638.1</v>
      </c>
      <c r="K25" s="16">
        <f t="shared" si="8"/>
        <v>60000</v>
      </c>
      <c r="L25" s="16">
        <f t="shared" si="8"/>
        <v>63000</v>
      </c>
      <c r="M25" s="16">
        <f t="shared" si="8"/>
        <v>142000</v>
      </c>
      <c r="N25" s="16">
        <f t="shared" si="8"/>
        <v>94100</v>
      </c>
      <c r="O25" s="16">
        <f t="shared" si="8"/>
        <v>45000</v>
      </c>
    </row>
    <row r="26" spans="1:15" s="12" customFormat="1" ht="15.5" x14ac:dyDescent="0.3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s="12" customFormat="1" ht="15.5" x14ac:dyDescent="0.35">
      <c r="A27" s="10" t="s">
        <v>47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s="12" customFormat="1" ht="15.5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s="12" customFormat="1" ht="15.5" x14ac:dyDescent="0.35">
      <c r="A29" s="12" t="s">
        <v>14</v>
      </c>
      <c r="C29" s="23">
        <v>0</v>
      </c>
      <c r="D29" s="23">
        <v>9576.27</v>
      </c>
      <c r="E29" s="23">
        <v>0</v>
      </c>
      <c r="F29" s="23">
        <f>6680.25+2233.26</f>
        <v>8913.51</v>
      </c>
      <c r="G29" s="23">
        <v>0</v>
      </c>
      <c r="H29" s="23">
        <f>2157.97*2+1397.64+1142.87</f>
        <v>6856.45</v>
      </c>
      <c r="I29" s="23">
        <v>0</v>
      </c>
      <c r="J29" s="23">
        <f>975.81+1195.07+2157.97*2</f>
        <v>6486.82</v>
      </c>
      <c r="K29" s="23">
        <v>0</v>
      </c>
      <c r="L29" s="23">
        <f>975.81+1195.07+2157.97*2</f>
        <v>6486.82</v>
      </c>
      <c r="M29" s="23">
        <v>0</v>
      </c>
      <c r="N29" s="23">
        <f>2157.97*2+1059.33+1293.23</f>
        <v>6668.5</v>
      </c>
      <c r="O29" s="23">
        <v>0</v>
      </c>
    </row>
    <row r="30" spans="1:15" s="12" customFormat="1" ht="15.5" x14ac:dyDescent="0.35">
      <c r="A30" s="12" t="s">
        <v>19</v>
      </c>
      <c r="C30" s="23">
        <v>0</v>
      </c>
      <c r="D30" s="23">
        <v>0</v>
      </c>
      <c r="E30" s="17">
        <v>0</v>
      </c>
      <c r="F30" s="17">
        <v>12719.62</v>
      </c>
      <c r="G30" s="23">
        <v>0</v>
      </c>
      <c r="H30" s="23">
        <v>0</v>
      </c>
      <c r="I30" s="23">
        <v>0</v>
      </c>
      <c r="J30" s="17">
        <v>12719.62</v>
      </c>
      <c r="K30" s="17">
        <v>0</v>
      </c>
      <c r="L30" s="17">
        <v>0</v>
      </c>
      <c r="M30" s="17">
        <v>0</v>
      </c>
      <c r="N30" s="17">
        <v>12719.62</v>
      </c>
      <c r="O30" s="17">
        <v>0</v>
      </c>
    </row>
    <row r="31" spans="1:15" s="12" customFormat="1" ht="15.5" x14ac:dyDescent="0.35">
      <c r="A31" s="12" t="s">
        <v>22</v>
      </c>
      <c r="C31" s="23">
        <v>0</v>
      </c>
      <c r="D31" s="23">
        <v>0</v>
      </c>
      <c r="E31" s="17">
        <f>20.88+81.2+85+161.16+165.74+392.86+1009.41</f>
        <v>1916.25</v>
      </c>
      <c r="F31" s="23">
        <v>0</v>
      </c>
      <c r="G31" s="23">
        <v>0</v>
      </c>
      <c r="H31" s="23">
        <v>0</v>
      </c>
      <c r="I31" s="17">
        <f>20.88+87.62+88.96+104.19+146.23+164.32+185.5+298.71</f>
        <v>1096.4100000000001</v>
      </c>
      <c r="J31" s="17">
        <v>0</v>
      </c>
      <c r="K31" s="17">
        <v>0</v>
      </c>
      <c r="L31" s="17">
        <f>20.88+54.74+88.55+100.33+135.41+146.4+309.69</f>
        <v>856</v>
      </c>
      <c r="M31" s="17">
        <v>0</v>
      </c>
      <c r="N31" s="17">
        <v>0</v>
      </c>
      <c r="O31" s="17">
        <v>0</v>
      </c>
    </row>
    <row r="32" spans="1:15" s="12" customFormat="1" ht="15.5" x14ac:dyDescent="0.35">
      <c r="A32" s="12" t="s">
        <v>15</v>
      </c>
      <c r="C32" s="23">
        <v>0</v>
      </c>
      <c r="D32" s="17">
        <v>1120.83</v>
      </c>
      <c r="E32" s="17">
        <v>0</v>
      </c>
      <c r="F32" s="17">
        <v>0</v>
      </c>
      <c r="G32" s="23">
        <v>0</v>
      </c>
      <c r="H32" s="23">
        <v>0</v>
      </c>
      <c r="I32" s="17">
        <v>1120.83</v>
      </c>
      <c r="J32" s="17">
        <v>0</v>
      </c>
      <c r="K32" s="17">
        <v>0</v>
      </c>
      <c r="L32" s="17">
        <v>0</v>
      </c>
      <c r="M32" s="17">
        <v>1120.83</v>
      </c>
      <c r="N32" s="17">
        <v>0</v>
      </c>
      <c r="O32" s="17">
        <v>0</v>
      </c>
    </row>
    <row r="33" spans="1:15" s="12" customFormat="1" ht="15.5" x14ac:dyDescent="0.35">
      <c r="A33" s="12" t="s">
        <v>16</v>
      </c>
      <c r="C33" s="17">
        <v>0</v>
      </c>
      <c r="D33" s="17">
        <v>80.23</v>
      </c>
      <c r="E33" s="17">
        <f>559.08+149.21</f>
        <v>708.29000000000008</v>
      </c>
      <c r="F33" s="17">
        <v>0</v>
      </c>
      <c r="G33" s="23">
        <v>0</v>
      </c>
      <c r="H33" s="17">
        <f>11.5+82.71+155.14+189.27</f>
        <v>438.62</v>
      </c>
      <c r="I33" s="17">
        <v>0</v>
      </c>
      <c r="J33" s="17">
        <v>0</v>
      </c>
      <c r="K33" s="17">
        <v>0</v>
      </c>
      <c r="L33" s="17">
        <f>42.37+80.23+147.7+164.25</f>
        <v>434.54999999999995</v>
      </c>
      <c r="M33" s="17">
        <v>0</v>
      </c>
      <c r="N33" s="17">
        <v>0</v>
      </c>
      <c r="O33" s="17">
        <v>0</v>
      </c>
    </row>
    <row r="34" spans="1:15" s="19" customFormat="1" ht="15.5" x14ac:dyDescent="0.35">
      <c r="A34" s="19" t="s">
        <v>17</v>
      </c>
      <c r="C34" s="40">
        <f>Suppliers!C24</f>
        <v>46000</v>
      </c>
      <c r="D34" s="40">
        <f>Suppliers!D24</f>
        <v>14400</v>
      </c>
      <c r="E34" s="40">
        <f>Suppliers!E24</f>
        <v>46000</v>
      </c>
      <c r="F34" s="40">
        <f>Suppliers!F24</f>
        <v>18400</v>
      </c>
      <c r="G34" s="40">
        <f>Suppliers!G24</f>
        <v>46000</v>
      </c>
      <c r="H34" s="40">
        <f>Suppliers!H24</f>
        <v>15400</v>
      </c>
      <c r="I34" s="40">
        <f>Suppliers!I24</f>
        <v>46000</v>
      </c>
      <c r="J34" s="40">
        <f>Suppliers!J24</f>
        <v>15400</v>
      </c>
      <c r="K34" s="40">
        <f>Suppliers!K24</f>
        <v>46000</v>
      </c>
      <c r="L34" s="40">
        <f>Suppliers!L24</f>
        <v>15400</v>
      </c>
      <c r="M34" s="40">
        <f>Suppliers!M24</f>
        <v>46000</v>
      </c>
      <c r="N34" s="40">
        <f>Suppliers!N24</f>
        <v>15400</v>
      </c>
      <c r="O34" s="40">
        <f>Suppliers!O24</f>
        <v>46000</v>
      </c>
    </row>
    <row r="35" spans="1:15" s="12" customFormat="1" ht="15.5" x14ac:dyDescent="0.35">
      <c r="A35" s="12" t="s">
        <v>21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</row>
    <row r="36" spans="1:15" s="12" customFormat="1" ht="15.5" x14ac:dyDescent="0.35">
      <c r="A36" s="12" t="s">
        <v>20</v>
      </c>
      <c r="C36" s="17">
        <v>5</v>
      </c>
      <c r="D36" s="17">
        <f>59.36+2.42+5</f>
        <v>66.78</v>
      </c>
      <c r="E36" s="17">
        <v>0</v>
      </c>
      <c r="F36" s="59">
        <f>25+2.97</f>
        <v>27.97</v>
      </c>
      <c r="G36" s="17">
        <v>0</v>
      </c>
      <c r="H36" s="17">
        <v>0</v>
      </c>
      <c r="I36" s="17">
        <f>5+63.84+1.32+5+255</f>
        <v>330.15999999999997</v>
      </c>
      <c r="J36" s="17">
        <v>0</v>
      </c>
      <c r="K36" s="17">
        <v>15.63</v>
      </c>
      <c r="L36" s="17">
        <v>0</v>
      </c>
      <c r="M36" s="17">
        <f>81.25+1.32+(9.22*B3)</f>
        <v>94.555999999999997</v>
      </c>
      <c r="N36" s="17">
        <v>0</v>
      </c>
      <c r="O36" s="17">
        <v>24.44</v>
      </c>
    </row>
    <row r="37" spans="1:15" s="12" customFormat="1" ht="15.5" x14ac:dyDescent="0.35">
      <c r="A37" s="12" t="s">
        <v>27</v>
      </c>
      <c r="C37" s="17">
        <v>0</v>
      </c>
      <c r="D37" s="17">
        <v>0</v>
      </c>
      <c r="E37" s="17">
        <v>0</v>
      </c>
      <c r="F37" s="17">
        <v>7000</v>
      </c>
      <c r="G37" s="17">
        <v>0</v>
      </c>
      <c r="H37" s="17">
        <v>5000</v>
      </c>
      <c r="I37" s="17">
        <v>0</v>
      </c>
      <c r="J37" s="17">
        <v>0</v>
      </c>
      <c r="K37" s="17">
        <v>7000</v>
      </c>
      <c r="L37" s="17">
        <v>0</v>
      </c>
      <c r="M37" s="17">
        <v>8000</v>
      </c>
      <c r="N37" s="17">
        <v>10000</v>
      </c>
      <c r="O37" s="17">
        <v>10000</v>
      </c>
    </row>
    <row r="38" spans="1:15" s="12" customFormat="1" ht="15.5" x14ac:dyDescent="0.35">
      <c r="A38" s="12" t="s">
        <v>50</v>
      </c>
      <c r="C38" s="17">
        <v>4000</v>
      </c>
      <c r="D38" s="17">
        <v>0</v>
      </c>
      <c r="E38" s="17">
        <v>4000</v>
      </c>
      <c r="F38" s="17">
        <v>0</v>
      </c>
      <c r="G38" s="17">
        <v>4000</v>
      </c>
      <c r="H38" s="17">
        <v>20000</v>
      </c>
      <c r="I38" s="17">
        <v>4000</v>
      </c>
      <c r="J38" s="17">
        <v>0</v>
      </c>
      <c r="K38" s="17">
        <v>4000</v>
      </c>
      <c r="L38" s="17">
        <v>4000</v>
      </c>
      <c r="M38" s="17">
        <v>20023.5</v>
      </c>
      <c r="N38" s="17">
        <v>4000</v>
      </c>
      <c r="O38" s="17">
        <v>0</v>
      </c>
    </row>
    <row r="39" spans="1:15" s="12" customFormat="1" ht="15.5" x14ac:dyDescent="0.35">
      <c r="A39" s="12" t="s">
        <v>1</v>
      </c>
      <c r="C39" s="17">
        <f>435.32*$B$3</f>
        <v>565.91600000000005</v>
      </c>
      <c r="D39" s="17">
        <f>+(9+2500)*$B$3</f>
        <v>3261.7000000000003</v>
      </c>
      <c r="E39" s="17">
        <f>216+5</f>
        <v>221</v>
      </c>
      <c r="F39" s="17">
        <v>0</v>
      </c>
      <c r="G39" s="17">
        <f>11000+5</f>
        <v>11005</v>
      </c>
      <c r="H39" s="17">
        <v>0</v>
      </c>
      <c r="I39" s="17">
        <f>214.3</f>
        <v>214.3</v>
      </c>
      <c r="J39" s="17">
        <v>5000</v>
      </c>
      <c r="K39" s="17">
        <v>0</v>
      </c>
      <c r="L39" s="17">
        <v>180.8</v>
      </c>
      <c r="M39" s="17">
        <v>234</v>
      </c>
      <c r="N39" s="17">
        <v>0</v>
      </c>
      <c r="O39" s="17">
        <v>0</v>
      </c>
    </row>
    <row r="40" spans="1:15" s="14" customFormat="1" ht="15.5" x14ac:dyDescent="0.35">
      <c r="C40" s="18"/>
      <c r="D40" s="18"/>
      <c r="E40" s="18"/>
      <c r="F40" s="18"/>
      <c r="G40" s="18"/>
      <c r="H40" s="18"/>
      <c r="I40" s="47"/>
      <c r="J40" s="18"/>
      <c r="K40" s="18"/>
      <c r="L40" s="18"/>
      <c r="M40" s="18"/>
      <c r="N40" s="18"/>
      <c r="O40" s="18"/>
    </row>
    <row r="41" spans="1:15" s="12" customFormat="1" ht="15.5" x14ac:dyDescent="0.35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s="15" customFormat="1" ht="15.5" x14ac:dyDescent="0.35">
      <c r="A42" s="15" t="s">
        <v>3</v>
      </c>
      <c r="C42" s="25">
        <f t="shared" ref="C42:O42" si="9">SUM(C29:C41)</f>
        <v>50570.915999999997</v>
      </c>
      <c r="D42" s="25">
        <f t="shared" si="9"/>
        <v>28505.81</v>
      </c>
      <c r="E42" s="25">
        <f t="shared" si="9"/>
        <v>52845.54</v>
      </c>
      <c r="F42" s="25">
        <f t="shared" si="9"/>
        <v>47061.100000000006</v>
      </c>
      <c r="G42" s="25">
        <f t="shared" si="9"/>
        <v>61005</v>
      </c>
      <c r="H42" s="25">
        <f t="shared" si="9"/>
        <v>47695.07</v>
      </c>
      <c r="I42" s="25">
        <f t="shared" si="9"/>
        <v>52761.700000000004</v>
      </c>
      <c r="J42" s="25">
        <f t="shared" si="9"/>
        <v>39606.44</v>
      </c>
      <c r="K42" s="25">
        <f t="shared" si="9"/>
        <v>57015.63</v>
      </c>
      <c r="L42" s="25">
        <f t="shared" si="9"/>
        <v>27358.17</v>
      </c>
      <c r="M42" s="25">
        <f t="shared" si="9"/>
        <v>75472.885999999999</v>
      </c>
      <c r="N42" s="25">
        <f t="shared" si="9"/>
        <v>48788.12</v>
      </c>
      <c r="O42" s="25">
        <f t="shared" si="9"/>
        <v>56024.44</v>
      </c>
    </row>
    <row r="43" spans="1:15" s="12" customFormat="1" ht="15.5" x14ac:dyDescent="0.35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s="11" customFormat="1" ht="15.5" x14ac:dyDescent="0.35">
      <c r="A44" s="11" t="s">
        <v>4</v>
      </c>
      <c r="C44" s="11">
        <f t="shared" ref="C44:O44" si="10">C25-C42</f>
        <v>15429.084000000003</v>
      </c>
      <c r="D44" s="11">
        <f t="shared" si="10"/>
        <v>64494.19</v>
      </c>
      <c r="E44" s="11">
        <f t="shared" si="10"/>
        <v>-7845.5400000000009</v>
      </c>
      <c r="F44" s="11">
        <f t="shared" si="10"/>
        <v>10938.899999999994</v>
      </c>
      <c r="G44" s="11">
        <f t="shared" si="10"/>
        <v>29995</v>
      </c>
      <c r="H44" s="11">
        <f t="shared" si="10"/>
        <v>77604.929999999993</v>
      </c>
      <c r="I44" s="11">
        <f t="shared" si="10"/>
        <v>22238.299999999996</v>
      </c>
      <c r="J44" s="11">
        <f t="shared" si="10"/>
        <v>47031.66</v>
      </c>
      <c r="K44" s="11">
        <f t="shared" si="10"/>
        <v>2984.3700000000026</v>
      </c>
      <c r="L44" s="11">
        <f t="shared" si="10"/>
        <v>35641.83</v>
      </c>
      <c r="M44" s="11">
        <f t="shared" si="10"/>
        <v>66527.114000000001</v>
      </c>
      <c r="N44" s="11">
        <f t="shared" si="10"/>
        <v>45311.88</v>
      </c>
      <c r="O44" s="11">
        <f t="shared" si="10"/>
        <v>-11024.440000000002</v>
      </c>
    </row>
    <row r="45" spans="1:15" s="12" customFormat="1" ht="15.5" x14ac:dyDescent="0.35">
      <c r="A45" s="11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s="14" customFormat="1" ht="15.5" x14ac:dyDescent="0.35">
      <c r="A46" s="14" t="s">
        <v>5</v>
      </c>
      <c r="C46" s="18">
        <v>100000</v>
      </c>
      <c r="D46" s="18">
        <f t="shared" ref="D46:O46" si="11">C48</f>
        <v>115429.084</v>
      </c>
      <c r="E46" s="18">
        <f t="shared" si="11"/>
        <v>179923.274</v>
      </c>
      <c r="F46" s="18">
        <f t="shared" si="11"/>
        <v>172077.734</v>
      </c>
      <c r="G46" s="18">
        <f t="shared" si="11"/>
        <v>183016.63399999999</v>
      </c>
      <c r="H46" s="18">
        <f t="shared" si="11"/>
        <v>213011.63399999999</v>
      </c>
      <c r="I46" s="18">
        <f t="shared" si="11"/>
        <v>290616.56400000001</v>
      </c>
      <c r="J46" s="18">
        <f t="shared" si="11"/>
        <v>312854.864</v>
      </c>
      <c r="K46" s="18">
        <f t="shared" si="11"/>
        <v>359886.52399999998</v>
      </c>
      <c r="L46" s="18">
        <f t="shared" si="11"/>
        <v>362870.89399999997</v>
      </c>
      <c r="M46" s="18">
        <f t="shared" si="11"/>
        <v>398512.72399999999</v>
      </c>
      <c r="N46" s="18">
        <f t="shared" si="11"/>
        <v>465039.83799999999</v>
      </c>
      <c r="O46" s="18">
        <f t="shared" si="11"/>
        <v>510351.71799999999</v>
      </c>
    </row>
    <row r="47" spans="1:15" s="12" customFormat="1" ht="15.5" x14ac:dyDescent="0.3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s="42" customFormat="1" ht="16" thickBot="1" x14ac:dyDescent="0.4">
      <c r="A48" s="41" t="s">
        <v>6</v>
      </c>
      <c r="B48" s="41"/>
      <c r="C48" s="41">
        <f t="shared" ref="C48:M48" si="12">C46+C44</f>
        <v>115429.084</v>
      </c>
      <c r="D48" s="41">
        <f t="shared" si="12"/>
        <v>179923.274</v>
      </c>
      <c r="E48" s="41">
        <f t="shared" si="12"/>
        <v>172077.734</v>
      </c>
      <c r="F48" s="41">
        <f t="shared" si="12"/>
        <v>183016.63399999999</v>
      </c>
      <c r="G48" s="41">
        <f t="shared" si="12"/>
        <v>213011.63399999999</v>
      </c>
      <c r="H48" s="41">
        <f t="shared" si="12"/>
        <v>290616.56400000001</v>
      </c>
      <c r="I48" s="41">
        <f t="shared" si="12"/>
        <v>312854.864</v>
      </c>
      <c r="J48" s="41">
        <f t="shared" si="12"/>
        <v>359886.52399999998</v>
      </c>
      <c r="K48" s="41">
        <f t="shared" si="12"/>
        <v>362870.89399999997</v>
      </c>
      <c r="L48" s="41">
        <f t="shared" si="12"/>
        <v>398512.72399999999</v>
      </c>
      <c r="M48" s="41">
        <f t="shared" si="12"/>
        <v>465039.83799999999</v>
      </c>
      <c r="N48" s="41">
        <f t="shared" ref="N48:O48" si="13">N46+N44</f>
        <v>510351.71799999999</v>
      </c>
      <c r="O48" s="41">
        <f t="shared" si="13"/>
        <v>499327.27799999999</v>
      </c>
    </row>
    <row r="49" spans="1:15" s="12" customFormat="1" ht="15.5" x14ac:dyDescent="0.3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s="20" customFormat="1" ht="15.5" x14ac:dyDescent="0.35">
      <c r="A50" s="20" t="s">
        <v>9</v>
      </c>
    </row>
    <row r="51" spans="1:15" s="20" customFormat="1" ht="15.5" x14ac:dyDescent="0.35"/>
    <row r="52" spans="1:15" x14ac:dyDescent="0.35">
      <c r="A52" s="64" t="s">
        <v>51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</row>
    <row r="53" spans="1:15" x14ac:dyDescent="0.35">
      <c r="A53" s="1" t="s">
        <v>11</v>
      </c>
      <c r="C53" s="60">
        <v>115429.084</v>
      </c>
      <c r="D53" s="61">
        <v>179923.274</v>
      </c>
      <c r="E53" s="60">
        <v>172077.734</v>
      </c>
      <c r="F53" s="61">
        <v>183016.63399999999</v>
      </c>
      <c r="G53" s="62">
        <v>213011.63399999999</v>
      </c>
      <c r="H53" s="62">
        <v>290616.56400000001</v>
      </c>
      <c r="I53" s="62">
        <v>312854.864</v>
      </c>
      <c r="J53" s="61">
        <v>359886.52399999998</v>
      </c>
      <c r="K53" s="60">
        <v>362870.89399999997</v>
      </c>
      <c r="L53" s="60">
        <v>398512.72399999999</v>
      </c>
      <c r="M53" s="60">
        <v>465039.83799999999</v>
      </c>
      <c r="N53" s="61">
        <v>510351.71799999999</v>
      </c>
      <c r="O53" s="61">
        <v>499327.27799999999</v>
      </c>
    </row>
    <row r="54" spans="1:15" x14ac:dyDescent="0.35">
      <c r="A54" s="65" t="s">
        <v>52</v>
      </c>
      <c r="B54" s="65"/>
      <c r="C54" s="66">
        <v>0</v>
      </c>
      <c r="D54" s="67">
        <v>0</v>
      </c>
      <c r="E54" s="67">
        <v>0</v>
      </c>
      <c r="F54" s="67">
        <v>0</v>
      </c>
      <c r="G54" s="68">
        <v>0</v>
      </c>
      <c r="H54" s="68">
        <v>0</v>
      </c>
      <c r="I54" s="68">
        <v>0</v>
      </c>
      <c r="J54" s="66">
        <v>0</v>
      </c>
      <c r="K54" s="67">
        <v>0</v>
      </c>
      <c r="L54" s="67">
        <v>0</v>
      </c>
      <c r="M54" s="67">
        <v>0</v>
      </c>
      <c r="N54" s="68">
        <v>0</v>
      </c>
      <c r="O54" s="66">
        <v>0</v>
      </c>
    </row>
    <row r="55" spans="1:15" x14ac:dyDescent="0.35">
      <c r="A55" s="1" t="s">
        <v>10</v>
      </c>
      <c r="C55" s="62">
        <f t="shared" ref="C55:G55" si="14">C53+C54*$B$3</f>
        <v>115429.084</v>
      </c>
      <c r="D55" s="62">
        <f t="shared" si="14"/>
        <v>179923.274</v>
      </c>
      <c r="E55" s="62">
        <f t="shared" si="14"/>
        <v>172077.734</v>
      </c>
      <c r="F55" s="62">
        <f t="shared" si="14"/>
        <v>183016.63399999999</v>
      </c>
      <c r="G55" s="62">
        <f t="shared" si="14"/>
        <v>213011.63399999999</v>
      </c>
      <c r="H55" s="62">
        <f t="shared" ref="H55:I55" si="15">H53+H54*$B$3</f>
        <v>290616.56400000001</v>
      </c>
      <c r="I55" s="62">
        <f t="shared" si="15"/>
        <v>312854.864</v>
      </c>
      <c r="J55" s="62">
        <f t="shared" ref="J55:M55" si="16">J53+J54*$B$3</f>
        <v>359886.52399999998</v>
      </c>
      <c r="K55" s="62">
        <f t="shared" si="16"/>
        <v>362870.89399999997</v>
      </c>
      <c r="L55" s="62">
        <f t="shared" si="16"/>
        <v>398512.72399999999</v>
      </c>
      <c r="M55" s="62">
        <f t="shared" si="16"/>
        <v>465039.83799999999</v>
      </c>
      <c r="N55" s="62">
        <f t="shared" ref="N55:O55" si="17">N53+N54*$B$3</f>
        <v>510351.71799999999</v>
      </c>
      <c r="O55" s="62">
        <f t="shared" si="17"/>
        <v>499327.27799999999</v>
      </c>
    </row>
    <row r="56" spans="1:15" x14ac:dyDescent="0.35"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15" s="69" customFormat="1" x14ac:dyDescent="0.35">
      <c r="A57" s="69" t="s">
        <v>53</v>
      </c>
      <c r="C57" s="70">
        <f t="shared" ref="C57:H57" si="18">C55-C48</f>
        <v>0</v>
      </c>
      <c r="D57" s="70">
        <f t="shared" si="18"/>
        <v>0</v>
      </c>
      <c r="E57" s="70">
        <f t="shared" si="18"/>
        <v>0</v>
      </c>
      <c r="F57" s="70">
        <f t="shared" si="18"/>
        <v>0</v>
      </c>
      <c r="G57" s="71">
        <f t="shared" si="18"/>
        <v>0</v>
      </c>
      <c r="H57" s="71">
        <f t="shared" si="18"/>
        <v>0</v>
      </c>
      <c r="I57" s="70">
        <f t="shared" ref="I57:J57" si="19">I55-I48</f>
        <v>0</v>
      </c>
      <c r="J57" s="71">
        <f t="shared" si="19"/>
        <v>0</v>
      </c>
      <c r="K57" s="71">
        <f t="shared" ref="K57:M57" si="20">K55-K48</f>
        <v>0</v>
      </c>
      <c r="L57" s="71">
        <f t="shared" si="20"/>
        <v>0</v>
      </c>
      <c r="M57" s="71">
        <f t="shared" si="20"/>
        <v>0</v>
      </c>
      <c r="N57" s="70">
        <f t="shared" ref="N57:O57" si="21">N55-N48</f>
        <v>0</v>
      </c>
      <c r="O57" s="70">
        <f t="shared" si="21"/>
        <v>0</v>
      </c>
    </row>
    <row r="58" spans="1:15" x14ac:dyDescent="0.35"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3D3DF-40E1-43AD-BE52-9BBF5C68F2E1}">
  <dimension ref="A1:O24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5" sqref="A25"/>
    </sheetView>
  </sheetViews>
  <sheetFormatPr defaultRowHeight="14.5" x14ac:dyDescent="0.35"/>
  <cols>
    <col min="1" max="1" width="36.1796875" bestFit="1" customWidth="1"/>
    <col min="3" max="3" width="9.54296875" customWidth="1"/>
    <col min="4" max="4" width="9.26953125" customWidth="1"/>
    <col min="5" max="6" width="10.1796875" customWidth="1"/>
    <col min="7" max="7" width="10.26953125" customWidth="1"/>
    <col min="8" max="8" width="10.1796875" customWidth="1"/>
    <col min="9" max="9" width="9.6328125" bestFit="1" customWidth="1"/>
    <col min="10" max="11" width="9.26953125" customWidth="1"/>
    <col min="12" max="12" width="10.08984375" bestFit="1" customWidth="1"/>
    <col min="13" max="14" width="10.1796875" bestFit="1" customWidth="1"/>
    <col min="15" max="15" width="9.26953125" customWidth="1"/>
  </cols>
  <sheetData>
    <row r="1" spans="1:15" s="1" customFormat="1" ht="20.5" x14ac:dyDescent="0.35">
      <c r="A1" s="2" t="s">
        <v>29</v>
      </c>
      <c r="B1" s="2"/>
    </row>
    <row r="2" spans="1:15" s="1" customFormat="1" ht="20.5" x14ac:dyDescent="0.35">
      <c r="A2" s="2" t="s">
        <v>7</v>
      </c>
      <c r="B2" s="2"/>
    </row>
    <row r="3" spans="1:15" s="3" customFormat="1" ht="15.5" x14ac:dyDescent="0.35">
      <c r="A3" s="24" t="s">
        <v>12</v>
      </c>
      <c r="B3" s="43">
        <f>'Cash Flow'!B3</f>
        <v>1.3</v>
      </c>
    </row>
    <row r="4" spans="1:15" s="22" customFormat="1" ht="15.5" x14ac:dyDescent="0.35">
      <c r="A4" s="21"/>
      <c r="B4" s="21"/>
      <c r="C4" s="21">
        <f>'Cash Flow'!C4</f>
        <v>1</v>
      </c>
      <c r="D4" s="21">
        <f>'Cash Flow'!D4</f>
        <v>2</v>
      </c>
      <c r="E4" s="21">
        <f>'Cash Flow'!E4</f>
        <v>3</v>
      </c>
      <c r="F4" s="21">
        <f>'Cash Flow'!F4</f>
        <v>4</v>
      </c>
      <c r="G4" s="21">
        <f>'Cash Flow'!G4</f>
        <v>5</v>
      </c>
      <c r="H4" s="21">
        <f>'Cash Flow'!H4</f>
        <v>6</v>
      </c>
      <c r="I4" s="21">
        <f>'Cash Flow'!I4</f>
        <v>7</v>
      </c>
      <c r="J4" s="21">
        <f>'Cash Flow'!J4</f>
        <v>8</v>
      </c>
      <c r="K4" s="21">
        <f>'Cash Flow'!K4</f>
        <v>9</v>
      </c>
      <c r="L4" s="21">
        <f>'Cash Flow'!L4</f>
        <v>10</v>
      </c>
      <c r="M4" s="21">
        <f>'Cash Flow'!M4</f>
        <v>11</v>
      </c>
      <c r="N4" s="21">
        <f>'Cash Flow'!N4</f>
        <v>12</v>
      </c>
      <c r="O4" s="21">
        <f>'Cash Flow'!O4</f>
        <v>13</v>
      </c>
    </row>
    <row r="5" spans="1:15" s="22" customFormat="1" ht="15.5" x14ac:dyDescent="0.35">
      <c r="A5" s="4" t="s">
        <v>33</v>
      </c>
      <c r="B5" s="21"/>
      <c r="C5" s="5">
        <v>43717</v>
      </c>
      <c r="D5" s="5">
        <f>C5+7</f>
        <v>43724</v>
      </c>
      <c r="E5" s="5">
        <f t="shared" ref="E5:O5" si="0">D5+7</f>
        <v>43731</v>
      </c>
      <c r="F5" s="5">
        <f t="shared" si="0"/>
        <v>43738</v>
      </c>
      <c r="G5" s="5">
        <f t="shared" si="0"/>
        <v>43745</v>
      </c>
      <c r="H5" s="5">
        <f t="shared" si="0"/>
        <v>43752</v>
      </c>
      <c r="I5" s="5">
        <f t="shared" si="0"/>
        <v>43759</v>
      </c>
      <c r="J5" s="5">
        <f t="shared" si="0"/>
        <v>43766</v>
      </c>
      <c r="K5" s="5">
        <f t="shared" si="0"/>
        <v>43773</v>
      </c>
      <c r="L5" s="5">
        <f t="shared" si="0"/>
        <v>43780</v>
      </c>
      <c r="M5" s="5">
        <f t="shared" si="0"/>
        <v>43787</v>
      </c>
      <c r="N5" s="5">
        <f t="shared" si="0"/>
        <v>43794</v>
      </c>
      <c r="O5" s="5">
        <f t="shared" si="0"/>
        <v>43801</v>
      </c>
    </row>
    <row r="6" spans="1:15" s="6" customFormat="1" ht="15.5" x14ac:dyDescent="0.35">
      <c r="A6" s="4" t="s">
        <v>0</v>
      </c>
      <c r="B6" s="4"/>
      <c r="C6" s="5">
        <f>C5+4</f>
        <v>43721</v>
      </c>
      <c r="D6" s="5">
        <f>D5+4</f>
        <v>43728</v>
      </c>
      <c r="E6" s="5">
        <f t="shared" ref="E6:O6" si="1">E5+4</f>
        <v>43735</v>
      </c>
      <c r="F6" s="5">
        <f t="shared" si="1"/>
        <v>43742</v>
      </c>
      <c r="G6" s="5">
        <f t="shared" si="1"/>
        <v>43749</v>
      </c>
      <c r="H6" s="5">
        <f t="shared" si="1"/>
        <v>43756</v>
      </c>
      <c r="I6" s="5">
        <f t="shared" si="1"/>
        <v>43763</v>
      </c>
      <c r="J6" s="5">
        <f t="shared" si="1"/>
        <v>43770</v>
      </c>
      <c r="K6" s="5">
        <f t="shared" si="1"/>
        <v>43777</v>
      </c>
      <c r="L6" s="5">
        <f t="shared" si="1"/>
        <v>43784</v>
      </c>
      <c r="M6" s="5">
        <f t="shared" si="1"/>
        <v>43791</v>
      </c>
      <c r="N6" s="5">
        <f t="shared" si="1"/>
        <v>43798</v>
      </c>
      <c r="O6" s="5">
        <f t="shared" si="1"/>
        <v>43805</v>
      </c>
    </row>
    <row r="7" spans="1:15" x14ac:dyDescent="0.35">
      <c r="A7" s="27"/>
    </row>
    <row r="8" spans="1:15" x14ac:dyDescent="0.35">
      <c r="A8" s="34" t="s">
        <v>18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x14ac:dyDescent="0.35">
      <c r="A9" s="27" t="s">
        <v>34</v>
      </c>
      <c r="C9" s="54">
        <v>3000</v>
      </c>
      <c r="D9" s="54">
        <v>0</v>
      </c>
      <c r="E9" s="54">
        <v>3000</v>
      </c>
      <c r="F9" s="54">
        <v>0</v>
      </c>
      <c r="G9" s="54">
        <v>3000</v>
      </c>
      <c r="H9" s="54">
        <v>0</v>
      </c>
      <c r="I9" s="54">
        <v>3000</v>
      </c>
      <c r="J9" s="54">
        <v>0</v>
      </c>
      <c r="K9" s="54">
        <v>3000</v>
      </c>
      <c r="L9" s="54">
        <v>0</v>
      </c>
      <c r="M9" s="54">
        <v>3000</v>
      </c>
      <c r="N9" s="54">
        <v>0</v>
      </c>
      <c r="O9" s="54">
        <v>3000</v>
      </c>
    </row>
    <row r="10" spans="1:15" x14ac:dyDescent="0.35">
      <c r="A10" s="27" t="s">
        <v>35</v>
      </c>
      <c r="C10" s="54">
        <v>0</v>
      </c>
      <c r="D10" s="54">
        <v>2400</v>
      </c>
      <c r="E10" s="54">
        <v>0</v>
      </c>
      <c r="F10" s="54">
        <v>2400</v>
      </c>
      <c r="G10" s="54">
        <v>0</v>
      </c>
      <c r="H10" s="54">
        <v>2400</v>
      </c>
      <c r="I10" s="54">
        <v>0</v>
      </c>
      <c r="J10" s="54">
        <v>2400</v>
      </c>
      <c r="K10" s="54">
        <v>0</v>
      </c>
      <c r="L10" s="54">
        <v>2400</v>
      </c>
      <c r="M10" s="54">
        <v>0</v>
      </c>
      <c r="N10" s="54">
        <v>2400</v>
      </c>
      <c r="O10" s="54">
        <v>0</v>
      </c>
    </row>
    <row r="11" spans="1:15" s="49" customFormat="1" x14ac:dyDescent="0.35">
      <c r="A11" s="27" t="s">
        <v>37</v>
      </c>
      <c r="C11" s="54">
        <v>2000</v>
      </c>
      <c r="D11" s="54"/>
      <c r="E11" s="54">
        <v>2000</v>
      </c>
      <c r="F11" s="54"/>
      <c r="G11" s="54">
        <v>2000</v>
      </c>
      <c r="H11" s="54"/>
      <c r="I11" s="54">
        <v>2000</v>
      </c>
      <c r="J11" s="54"/>
      <c r="K11" s="54">
        <v>2000</v>
      </c>
      <c r="L11" s="54"/>
      <c r="M11" s="54">
        <v>2000</v>
      </c>
      <c r="N11" s="54"/>
      <c r="O11" s="54">
        <v>2000</v>
      </c>
    </row>
    <row r="12" spans="1:15" x14ac:dyDescent="0.35">
      <c r="A12" s="27" t="s">
        <v>36</v>
      </c>
      <c r="C12" s="54">
        <v>0</v>
      </c>
      <c r="D12" s="54">
        <v>1000</v>
      </c>
      <c r="E12" s="54">
        <v>0</v>
      </c>
      <c r="F12" s="54">
        <v>1000</v>
      </c>
      <c r="G12" s="54">
        <v>0</v>
      </c>
      <c r="H12" s="54">
        <v>1000</v>
      </c>
      <c r="I12" s="54">
        <v>0</v>
      </c>
      <c r="J12" s="54">
        <v>1000</v>
      </c>
      <c r="K12" s="54">
        <v>0</v>
      </c>
      <c r="L12" s="54">
        <v>1000</v>
      </c>
      <c r="M12" s="54">
        <v>0</v>
      </c>
      <c r="N12" s="54">
        <v>1000</v>
      </c>
      <c r="O12" s="54">
        <v>0</v>
      </c>
    </row>
    <row r="13" spans="1:15" s="26" customFormat="1" x14ac:dyDescent="0.35">
      <c r="A13" s="29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s="35" customFormat="1" x14ac:dyDescent="0.35">
      <c r="A14" s="31" t="s">
        <v>25</v>
      </c>
      <c r="C14" s="58">
        <f>SUM(C9:C13)</f>
        <v>5000</v>
      </c>
      <c r="D14" s="58">
        <f>SUM(D9:D10)</f>
        <v>2400</v>
      </c>
      <c r="E14" s="58">
        <f t="shared" ref="E14:O14" si="2">SUM(E9:E13)</f>
        <v>5000</v>
      </c>
      <c r="F14" s="58">
        <f t="shared" si="2"/>
        <v>3400</v>
      </c>
      <c r="G14" s="58">
        <f t="shared" si="2"/>
        <v>5000</v>
      </c>
      <c r="H14" s="58">
        <f t="shared" si="2"/>
        <v>3400</v>
      </c>
      <c r="I14" s="58">
        <f t="shared" si="2"/>
        <v>5000</v>
      </c>
      <c r="J14" s="58">
        <f t="shared" si="2"/>
        <v>3400</v>
      </c>
      <c r="K14" s="58">
        <f t="shared" si="2"/>
        <v>5000</v>
      </c>
      <c r="L14" s="58">
        <f t="shared" si="2"/>
        <v>3400</v>
      </c>
      <c r="M14" s="58">
        <f t="shared" si="2"/>
        <v>5000</v>
      </c>
      <c r="N14" s="58">
        <f t="shared" si="2"/>
        <v>3400</v>
      </c>
      <c r="O14" s="58">
        <f t="shared" si="2"/>
        <v>5000</v>
      </c>
    </row>
    <row r="15" spans="1:15" x14ac:dyDescent="0.35">
      <c r="A15" s="27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x14ac:dyDescent="0.35">
      <c r="A16" s="34" t="s">
        <v>23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5" x14ac:dyDescent="0.35">
      <c r="A17" s="27" t="s">
        <v>38</v>
      </c>
      <c r="C17" s="54">
        <v>26000</v>
      </c>
      <c r="D17" s="54">
        <v>0</v>
      </c>
      <c r="E17" s="54">
        <v>26000</v>
      </c>
      <c r="F17" s="54">
        <v>0</v>
      </c>
      <c r="G17" s="54">
        <v>26000</v>
      </c>
      <c r="H17" s="54">
        <v>0</v>
      </c>
      <c r="I17" s="54">
        <v>26000</v>
      </c>
      <c r="J17" s="54">
        <v>0</v>
      </c>
      <c r="K17" s="54">
        <v>26000</v>
      </c>
      <c r="L17" s="54">
        <v>0</v>
      </c>
      <c r="M17" s="54">
        <v>26000</v>
      </c>
      <c r="N17" s="54">
        <v>0</v>
      </c>
      <c r="O17" s="54">
        <v>26000</v>
      </c>
    </row>
    <row r="18" spans="1:15" x14ac:dyDescent="0.35">
      <c r="A18" s="27" t="s">
        <v>39</v>
      </c>
      <c r="C18" s="54">
        <v>0</v>
      </c>
      <c r="D18" s="54">
        <v>5000</v>
      </c>
      <c r="E18" s="54">
        <v>0</v>
      </c>
      <c r="F18" s="54">
        <v>5000</v>
      </c>
      <c r="G18" s="54">
        <v>0</v>
      </c>
      <c r="H18" s="54">
        <v>5000</v>
      </c>
      <c r="I18" s="54">
        <v>0</v>
      </c>
      <c r="J18" s="54">
        <v>5000</v>
      </c>
      <c r="K18" s="54">
        <v>0</v>
      </c>
      <c r="L18" s="54">
        <v>5000</v>
      </c>
      <c r="M18" s="54">
        <v>0</v>
      </c>
      <c r="N18" s="54">
        <v>5000</v>
      </c>
      <c r="O18" s="54">
        <v>0</v>
      </c>
    </row>
    <row r="19" spans="1:15" s="55" customFormat="1" x14ac:dyDescent="0.35">
      <c r="A19" s="27" t="s">
        <v>40</v>
      </c>
      <c r="C19" s="54">
        <v>8000</v>
      </c>
      <c r="D19" s="54">
        <v>0</v>
      </c>
      <c r="E19" s="54">
        <v>8000</v>
      </c>
      <c r="F19" s="54">
        <v>0</v>
      </c>
      <c r="G19" s="54">
        <v>8000</v>
      </c>
      <c r="H19" s="54">
        <v>0</v>
      </c>
      <c r="I19" s="54">
        <v>8000</v>
      </c>
      <c r="J19" s="54">
        <v>0</v>
      </c>
      <c r="K19" s="54">
        <v>8000</v>
      </c>
      <c r="L19" s="54">
        <v>0</v>
      </c>
      <c r="M19" s="54">
        <v>8000</v>
      </c>
      <c r="N19" s="54">
        <v>0</v>
      </c>
      <c r="O19" s="54">
        <v>8000</v>
      </c>
    </row>
    <row r="20" spans="1:15" s="55" customFormat="1" x14ac:dyDescent="0.35">
      <c r="A20" s="27" t="s">
        <v>41</v>
      </c>
      <c r="C20" s="54">
        <v>7000</v>
      </c>
      <c r="D20" s="54">
        <v>7000</v>
      </c>
      <c r="E20" s="54">
        <v>7000</v>
      </c>
      <c r="F20" s="54">
        <v>7000</v>
      </c>
      <c r="G20" s="54">
        <v>7000</v>
      </c>
      <c r="H20" s="54">
        <v>7000</v>
      </c>
      <c r="I20" s="54">
        <v>7000</v>
      </c>
      <c r="J20" s="54">
        <v>7000</v>
      </c>
      <c r="K20" s="54">
        <v>7000</v>
      </c>
      <c r="L20" s="54">
        <v>7000</v>
      </c>
      <c r="M20" s="54">
        <v>7000</v>
      </c>
      <c r="N20" s="54">
        <v>7000</v>
      </c>
      <c r="O20" s="54">
        <v>7000</v>
      </c>
    </row>
    <row r="21" spans="1:15" s="51" customFormat="1" x14ac:dyDescent="0.35">
      <c r="A21" s="50"/>
      <c r="C21" s="52"/>
      <c r="D21" s="52"/>
      <c r="E21" s="52"/>
      <c r="F21" s="52">
        <v>3000</v>
      </c>
      <c r="G21" s="52"/>
      <c r="H21" s="52"/>
      <c r="I21" s="52"/>
      <c r="J21" s="52"/>
      <c r="K21" s="52"/>
      <c r="L21" s="52"/>
      <c r="M21" s="52"/>
      <c r="N21" s="52"/>
      <c r="O21" s="52"/>
    </row>
    <row r="22" spans="1:15" s="35" customFormat="1" x14ac:dyDescent="0.35">
      <c r="A22" s="31" t="s">
        <v>24</v>
      </c>
      <c r="C22" s="58">
        <f t="shared" ref="C22:O22" si="3">SUM(C17:C21)</f>
        <v>41000</v>
      </c>
      <c r="D22" s="58">
        <f t="shared" si="3"/>
        <v>12000</v>
      </c>
      <c r="E22" s="58">
        <f t="shared" si="3"/>
        <v>41000</v>
      </c>
      <c r="F22" s="58">
        <f t="shared" si="3"/>
        <v>15000</v>
      </c>
      <c r="G22" s="58">
        <f t="shared" si="3"/>
        <v>41000</v>
      </c>
      <c r="H22" s="58">
        <f t="shared" si="3"/>
        <v>12000</v>
      </c>
      <c r="I22" s="58">
        <f t="shared" si="3"/>
        <v>41000</v>
      </c>
      <c r="J22" s="58">
        <f t="shared" si="3"/>
        <v>12000</v>
      </c>
      <c r="K22" s="58">
        <f t="shared" si="3"/>
        <v>41000</v>
      </c>
      <c r="L22" s="58">
        <f t="shared" si="3"/>
        <v>12000</v>
      </c>
      <c r="M22" s="58">
        <f t="shared" si="3"/>
        <v>41000</v>
      </c>
      <c r="N22" s="58">
        <f t="shared" si="3"/>
        <v>12000</v>
      </c>
      <c r="O22" s="58">
        <f t="shared" si="3"/>
        <v>41000</v>
      </c>
    </row>
    <row r="23" spans="1:15" x14ac:dyDescent="0.35">
      <c r="A23" s="2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s="38" customFormat="1" ht="15" thickBot="1" x14ac:dyDescent="0.4">
      <c r="A24" s="37" t="s">
        <v>43</v>
      </c>
      <c r="C24" s="39">
        <f t="shared" ref="C24:O24" si="4">C22+C14</f>
        <v>46000</v>
      </c>
      <c r="D24" s="39">
        <f t="shared" si="4"/>
        <v>14400</v>
      </c>
      <c r="E24" s="39">
        <f t="shared" si="4"/>
        <v>46000</v>
      </c>
      <c r="F24" s="39">
        <f t="shared" si="4"/>
        <v>18400</v>
      </c>
      <c r="G24" s="39">
        <f t="shared" si="4"/>
        <v>46000</v>
      </c>
      <c r="H24" s="39">
        <f t="shared" si="4"/>
        <v>15400</v>
      </c>
      <c r="I24" s="39">
        <f t="shared" si="4"/>
        <v>46000</v>
      </c>
      <c r="J24" s="39">
        <f t="shared" si="4"/>
        <v>15400</v>
      </c>
      <c r="K24" s="39">
        <f t="shared" si="4"/>
        <v>46000</v>
      </c>
      <c r="L24" s="39">
        <f t="shared" si="4"/>
        <v>15400</v>
      </c>
      <c r="M24" s="39">
        <f t="shared" si="4"/>
        <v>46000</v>
      </c>
      <c r="N24" s="39">
        <f t="shared" si="4"/>
        <v>15400</v>
      </c>
      <c r="O24" s="39">
        <f t="shared" si="4"/>
        <v>46000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8784A-8237-4083-9E4D-3A6321BCFFD3}">
  <dimension ref="A1:C13"/>
  <sheetViews>
    <sheetView workbookViewId="0">
      <selection activeCell="B4" sqref="B4"/>
    </sheetView>
  </sheetViews>
  <sheetFormatPr defaultColWidth="8.7265625" defaultRowHeight="14.5" x14ac:dyDescent="0.35"/>
  <cols>
    <col min="1" max="1" width="13.453125" style="31" bestFit="1" customWidth="1"/>
    <col min="2" max="2" width="9.453125" style="27" bestFit="1" customWidth="1"/>
    <col min="3" max="16384" width="8.7265625" style="27"/>
  </cols>
  <sheetData>
    <row r="1" spans="1:3" s="1" customFormat="1" ht="20.5" x14ac:dyDescent="0.35">
      <c r="A1" s="2" t="s">
        <v>29</v>
      </c>
      <c r="B1" s="2"/>
    </row>
    <row r="2" spans="1:3" s="1" customFormat="1" ht="20.5" x14ac:dyDescent="0.35">
      <c r="A2" s="2" t="s">
        <v>28</v>
      </c>
      <c r="B2" s="2"/>
    </row>
    <row r="3" spans="1:3" s="1" customFormat="1" ht="20.5" x14ac:dyDescent="0.35">
      <c r="A3" s="2"/>
      <c r="B3" s="2"/>
    </row>
    <row r="4" spans="1:3" s="31" customFormat="1" x14ac:dyDescent="0.35"/>
    <row r="5" spans="1:3" x14ac:dyDescent="0.35">
      <c r="A5" s="31" t="s">
        <v>30</v>
      </c>
      <c r="B5" s="28">
        <f>100000/24</f>
        <v>4166.666666666667</v>
      </c>
      <c r="C5" s="28"/>
    </row>
    <row r="6" spans="1:3" x14ac:dyDescent="0.35">
      <c r="A6" s="31" t="s">
        <v>31</v>
      </c>
      <c r="B6" s="28">
        <f>80000/24</f>
        <v>3333.3333333333335</v>
      </c>
      <c r="C6" s="28"/>
    </row>
    <row r="7" spans="1:3" x14ac:dyDescent="0.35">
      <c r="A7" s="31" t="s">
        <v>32</v>
      </c>
      <c r="B7" s="28">
        <f>65000/24</f>
        <v>2708.3333333333335</v>
      </c>
      <c r="C7" s="28"/>
    </row>
    <row r="8" spans="1:3" x14ac:dyDescent="0.35">
      <c r="A8" s="31" t="s">
        <v>32</v>
      </c>
      <c r="B8" s="28">
        <f t="shared" ref="B8:B9" si="0">65000/24</f>
        <v>2708.3333333333335</v>
      </c>
      <c r="C8" s="28"/>
    </row>
    <row r="9" spans="1:3" x14ac:dyDescent="0.35">
      <c r="A9" s="31" t="s">
        <v>32</v>
      </c>
      <c r="B9" s="28">
        <f t="shared" si="0"/>
        <v>2708.3333333333335</v>
      </c>
      <c r="C9" s="28"/>
    </row>
    <row r="10" spans="1:3" x14ac:dyDescent="0.35">
      <c r="A10" s="31" t="s">
        <v>32</v>
      </c>
      <c r="B10" s="28">
        <f>55000/24</f>
        <v>2291.6666666666665</v>
      </c>
      <c r="C10" s="28"/>
    </row>
    <row r="11" spans="1:3" x14ac:dyDescent="0.35">
      <c r="A11" s="31" t="s">
        <v>32</v>
      </c>
      <c r="B11" s="56">
        <f t="shared" ref="B11:B12" si="1">55000/24</f>
        <v>2291.6666666666665</v>
      </c>
      <c r="C11" s="28"/>
    </row>
    <row r="12" spans="1:3" x14ac:dyDescent="0.35">
      <c r="A12" s="32" t="s">
        <v>32</v>
      </c>
      <c r="B12" s="30">
        <f t="shared" si="1"/>
        <v>2291.6666666666665</v>
      </c>
      <c r="C12" s="28"/>
    </row>
    <row r="13" spans="1:3" x14ac:dyDescent="0.35">
      <c r="A13" s="33" t="s">
        <v>10</v>
      </c>
      <c r="B13" s="28">
        <f>SUM(B5:B12)</f>
        <v>22500.000000000004</v>
      </c>
      <c r="C13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Flow</vt:lpstr>
      <vt:lpstr>Suppliers</vt:lpstr>
      <vt:lpstr>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</dc:creator>
  <cp:lastModifiedBy>Olga Jilani</cp:lastModifiedBy>
  <dcterms:created xsi:type="dcterms:W3CDTF">2018-08-13T18:15:03Z</dcterms:created>
  <dcterms:modified xsi:type="dcterms:W3CDTF">2020-04-07T17:27:19Z</dcterms:modified>
</cp:coreProperties>
</file>